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BQT\BQT 2025\DỰ TOÁN 2025\"/>
    </mc:Choice>
  </mc:AlternateContent>
  <xr:revisionPtr revIDLastSave="0" documentId="13_ncr:1_{AC3577A5-7489-470E-A7BD-34F7964D765E}" xr6:coauthVersionLast="47" xr6:coauthVersionMax="47" xr10:uidLastSave="{00000000-0000-0000-0000-000000000000}"/>
  <bookViews>
    <workbookView xWindow="-98" yWindow="-98" windowWidth="18195" windowHeight="11596" firstSheet="1" activeTab="1" xr2:uid="{00000000-000D-0000-FFFF-FFFF00000000}"/>
  </bookViews>
  <sheets>
    <sheet name="Tổng hợp_đủ " sheetId="5" state="hidden" r:id="rId1"/>
    <sheet name="TH Chi Quỹ Cộng đồng" sheetId="1" r:id="rId2"/>
    <sheet name="PL Chi tiết các công việc" sheetId="3" r:id="rId3"/>
    <sheet name="Bảng chênh lệch 2 giai đoạn" sheetId="2" state="hidden" r:id="rId4"/>
  </sheets>
  <definedNames>
    <definedName name="_xlnm.Print_Area" localSheetId="2">'PL Chi tiết các công việc'!$A$1:$I$39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32" i="3"/>
  <c r="G31" i="3"/>
  <c r="G30" i="3"/>
  <c r="G14" i="3"/>
  <c r="G11" i="3"/>
  <c r="G10" i="3"/>
  <c r="G9" i="3"/>
  <c r="G8" i="3"/>
  <c r="E12" i="1" l="1"/>
  <c r="F12" i="1" s="1"/>
  <c r="F37" i="3"/>
  <c r="F24" i="1" l="1"/>
  <c r="G37" i="3"/>
  <c r="G7" i="3"/>
  <c r="F11" i="1"/>
  <c r="G5" i="5"/>
  <c r="G23" i="3"/>
  <c r="B21" i="1"/>
  <c r="F21" i="1" l="1"/>
  <c r="G12" i="5"/>
  <c r="G11" i="5"/>
  <c r="G10" i="5" s="1"/>
  <c r="G28" i="3"/>
  <c r="G18" i="3"/>
  <c r="G16" i="3" s="1"/>
  <c r="G12" i="3"/>
  <c r="B20" i="1" l="1"/>
  <c r="G36" i="3"/>
  <c r="G35" i="3"/>
  <c r="G6" i="3"/>
  <c r="E8" i="2"/>
  <c r="F8" i="2" s="1"/>
  <c r="E7" i="2"/>
  <c r="F7" i="2" s="1"/>
  <c r="C8" i="2"/>
  <c r="D8" i="2" s="1"/>
  <c r="G8" i="2" s="1"/>
  <c r="C7" i="2"/>
  <c r="D7" i="2" s="1"/>
  <c r="G7" i="2" s="1"/>
  <c r="F10" i="2"/>
  <c r="F11" i="2"/>
  <c r="F13" i="2"/>
  <c r="F14" i="2"/>
  <c r="F9" i="2"/>
  <c r="D10" i="2"/>
  <c r="D13" i="2"/>
  <c r="G13" i="2" s="1"/>
  <c r="D14" i="2"/>
  <c r="G14" i="2" s="1"/>
  <c r="C9" i="2"/>
  <c r="D9" i="2" s="1"/>
  <c r="B18" i="1"/>
  <c r="B19" i="1"/>
  <c r="B17" i="1"/>
  <c r="B16" i="1"/>
  <c r="B15" i="1"/>
  <c r="G26" i="3"/>
  <c r="G27" i="3"/>
  <c r="G25" i="3"/>
  <c r="G22" i="3"/>
  <c r="G21" i="3"/>
  <c r="G5" i="3"/>
  <c r="G4" i="3"/>
  <c r="G3" i="3" l="1"/>
  <c r="G9" i="2"/>
  <c r="G10" i="2"/>
  <c r="G24" i="3"/>
  <c r="F19" i="1" s="1"/>
  <c r="G34" i="3"/>
  <c r="F20" i="1" s="1"/>
  <c r="G20" i="3"/>
  <c r="F17" i="1"/>
  <c r="F16" i="1"/>
  <c r="G11" i="2"/>
  <c r="F18" i="1" l="1"/>
  <c r="G38" i="3"/>
  <c r="F15" i="1"/>
  <c r="F14" i="1" s="1"/>
  <c r="K8" i="1"/>
  <c r="G9" i="5" l="1"/>
  <c r="K9" i="1"/>
  <c r="E7" i="1"/>
  <c r="F7" i="1" s="1"/>
  <c r="F6" i="1" s="1"/>
  <c r="F27" i="1" s="1"/>
  <c r="G8" i="5" l="1"/>
  <c r="G13" i="5" s="1"/>
</calcChain>
</file>

<file path=xl/sharedStrings.xml><?xml version="1.0" encoding="utf-8"?>
<sst xmlns="http://schemas.openxmlformats.org/spreadsheetml/2006/main" count="241" uniqueCount="170">
  <si>
    <t>TT</t>
  </si>
  <si>
    <t>Nội dung công việc</t>
  </si>
  <si>
    <t>Đơn vị tính</t>
  </si>
  <si>
    <t>Số lượng</t>
  </si>
  <si>
    <t>Đơn giá</t>
  </si>
  <si>
    <t>Thành tiền</t>
  </si>
  <si>
    <t>Thời gian thực hiện</t>
  </si>
  <si>
    <t>Ghi chú</t>
  </si>
  <si>
    <t>I</t>
  </si>
  <si>
    <t>Tổng cộng</t>
  </si>
  <si>
    <t>DỰ TRÙ KINH PHÍ QUỸ CỘNG ĐỒNG NHÀ CHUNG CƯ SAPPHIRE KĐT GOLDMARK CITY</t>
  </si>
  <si>
    <t xml:space="preserve">QLVH trả hàng tháng theo hợp đồng vận hành </t>
  </si>
  <si>
    <t xml:space="preserve">tháng </t>
  </si>
  <si>
    <t xml:space="preserve">Quỹ hoạt động BQT </t>
  </si>
  <si>
    <t>tháng 10/22 - 6/23</t>
  </si>
  <si>
    <t>QLVH tổ chức các sự kiện  cho cư dân không tài trợ bằng tiền</t>
  </si>
  <si>
    <t xml:space="preserve">QLVH  tài trợ các hoạt động cư dân </t>
  </si>
  <si>
    <t>Ngân hàng tài trợ từ HĐ tiền gửi Quỹ Bảo trì hàng năm</t>
  </si>
  <si>
    <t xml:space="preserve">Thu standee đặt tại sảnh các tòa theo năm </t>
  </si>
  <si>
    <t xml:space="preserve">Thu tiền biển Quảng cáo trên các tòa nhà </t>
  </si>
  <si>
    <t>STT</t>
  </si>
  <si>
    <t>TÊN NỘI DUNG</t>
  </si>
  <si>
    <t>ĐƠN VỊ</t>
  </si>
  <si>
    <t xml:space="preserve">SỐ LƯỢNG </t>
  </si>
  <si>
    <t xml:space="preserve">ĐƠN GIÁ </t>
  </si>
  <si>
    <t>THÀNH TIỀN</t>
  </si>
  <si>
    <t xml:space="preserve">GHI CHÚ </t>
  </si>
  <si>
    <t xml:space="preserve">Người lập 
</t>
  </si>
  <si>
    <t>TM BQT khu Sapphire 
Trưởng Ban</t>
  </si>
  <si>
    <t>A</t>
  </si>
  <si>
    <t>tòa</t>
  </si>
  <si>
    <t xml:space="preserve">Tiểu cảnh sân vườn </t>
  </si>
  <si>
    <t xml:space="preserve">tiểu cảnh </t>
  </si>
  <si>
    <t>Các tiểu cảnh từng tòa</t>
  </si>
  <si>
    <t>Phần lễ hội - ca nhạc</t>
  </si>
  <si>
    <t>lần</t>
  </si>
  <si>
    <t>B</t>
  </si>
  <si>
    <t xml:space="preserve">Chi theo số lượng thực tế của các cháu nộp Giấy khen cho BQT </t>
  </si>
  <si>
    <t>C</t>
  </si>
  <si>
    <t>Trung thu - rằm tháng tám</t>
  </si>
  <si>
    <t>D</t>
  </si>
  <si>
    <t>E</t>
  </si>
  <si>
    <t>Tết Dương lịch và Noel</t>
  </si>
  <si>
    <t xml:space="preserve">Trang trí cây thông Noel </t>
  </si>
  <si>
    <t xml:space="preserve">cây </t>
  </si>
  <si>
    <t>Rằm tháng 8</t>
  </si>
  <si>
    <t>Tháng 12 âm lịch</t>
  </si>
  <si>
    <t>Từ 20/5 -1/6</t>
  </si>
  <si>
    <t>Hội Cựu chiến binh</t>
  </si>
  <si>
    <t>Ngày 27/7</t>
  </si>
  <si>
    <t xml:space="preserve">Chi Hội phụ nữ </t>
  </si>
  <si>
    <t>Ngày 08/03 và 20/10</t>
  </si>
  <si>
    <t xml:space="preserve">Chi thăm hỏi khác </t>
  </si>
  <si>
    <t>III</t>
  </si>
  <si>
    <t xml:space="preserve">hàng tháng </t>
  </si>
  <si>
    <t>Đậu Thị Thùy Hương</t>
  </si>
  <si>
    <t>NGÀY THỰC HIỆN</t>
  </si>
  <si>
    <t>BẢNG TỔNG HỢP CÁC NGUỒN THU  - CHI CỦA QUỸ CỘNG ĐỒNG THEO CÁC GIAI ĐOẠN</t>
  </si>
  <si>
    <t>tháng</t>
  </si>
  <si>
    <t>CHÊNH LỆCH THEO THÁNG 
(GĐ 1 - GĐ 2)</t>
  </si>
  <si>
    <t xml:space="preserve">GIAI ĐOẠN 2 (GĐ2)
GIAI ĐOẠN TỪ THÁNG 11/2022 - THÁNG 06/2023 
</t>
  </si>
  <si>
    <t xml:space="preserve">GIAI ĐOẠN 1 (GĐ1)
GIAI ĐOẠN TỪ THÁNG 8/2020 - THÁNG 09/2022 
</t>
  </si>
  <si>
    <t>Nguồn thu</t>
  </si>
  <si>
    <t xml:space="preserve">Trung bình theo tháng </t>
  </si>
  <si>
    <t xml:space="preserve">Quỹ Tri ân </t>
  </si>
  <si>
    <t>CĐT tài trợ Chào xuân</t>
  </si>
  <si>
    <t xml:space="preserve">BẢNG KÊ DỰ TRÙ CHI TIẾT CÁC CHƯƠNG TRÌNH CỘNG ĐỒNG THỰC HIỆN TRONG NĂM </t>
  </si>
  <si>
    <t>F</t>
  </si>
  <si>
    <t xml:space="preserve">Chi photo tài liệu - loa đài sân khấu </t>
  </si>
  <si>
    <t>Chi cho các hoạt động tổ chức khác</t>
  </si>
  <si>
    <t xml:space="preserve">NGUỒN TIỀN : QUỸ CỘNG ĐỒNG </t>
  </si>
  <si>
    <t>II</t>
  </si>
  <si>
    <t>IV</t>
  </si>
  <si>
    <t xml:space="preserve">đồng </t>
  </si>
  <si>
    <t>V</t>
  </si>
  <si>
    <t>SỐ DƯ HIỆN TẠI CỦA QUỸ CỘNG ĐỒNG</t>
  </si>
  <si>
    <t>Dự kiến nguồn thu cả năm 2024</t>
  </si>
  <si>
    <t>Dự kiến các chi phí năm 2024 -2025</t>
  </si>
  <si>
    <t>Quỹ Kết dư của cộng đồng  tính hết năm 2025</t>
  </si>
  <si>
    <t xml:space="preserve">Phụ trách Tài Chính
</t>
  </si>
  <si>
    <t>Phùng Thị An Trinh</t>
  </si>
  <si>
    <t>Hỗ trợ chương trình ca nhạc</t>
  </si>
  <si>
    <t>tiết mục văn nghệ</t>
  </si>
  <si>
    <t>Ngày hội Đại đoàn kết toàn khu</t>
  </si>
  <si>
    <t xml:space="preserve">tháng 10 </t>
  </si>
  <si>
    <t>Chi đoàn thanh niên khu</t>
  </si>
  <si>
    <t>Ngày 26/3</t>
  </si>
  <si>
    <t xml:space="preserve">Các tài trợ khác theo sự kiện của khu chung cư </t>
  </si>
  <si>
    <t xml:space="preserve">lần </t>
  </si>
  <si>
    <t>Hệ thống làm mát phòng thang máy tầng 41</t>
  </si>
  <si>
    <t xml:space="preserve">Dự chi lắp hệ thống điều hòa </t>
  </si>
  <si>
    <t>Thực hiện trong khoảng 03-06 tháng sau khi hội nghị nhà chung cư thông qua.</t>
  </si>
  <si>
    <t xml:space="preserve">Lắp đặt điều hòa sảnh tầng B1 -B2 </t>
  </si>
  <si>
    <t xml:space="preserve">sảnh </t>
  </si>
  <si>
    <t xml:space="preserve">phòng máy </t>
  </si>
  <si>
    <t>DỰ TRÙ CHI TIẾT NGUỒN THU - CHI PHÍ 
QUỸ CỘNG ĐỒNG NHÀ CHUNG CƯ SAPPHIRE KĐT GOLDMARK CITY</t>
  </si>
  <si>
    <t>Trần Thị Hồng Hạnh</t>
  </si>
  <si>
    <t>H</t>
  </si>
  <si>
    <t xml:space="preserve">Chi thù lao Ban kiểm soát </t>
  </si>
  <si>
    <t>hàng tháng</t>
  </si>
  <si>
    <t>Số dư tài khoản Quỹ cộng đồng tính đến ngày 30/06/2024</t>
  </si>
  <si>
    <t>Số tiền phải thu của MB land</t>
  </si>
  <si>
    <t>Diễn giải</t>
  </si>
  <si>
    <t>I = (1)+(2)</t>
  </si>
  <si>
    <t>IV = (1)+(2)</t>
  </si>
  <si>
    <t>V = I+II-III - IV</t>
  </si>
  <si>
    <t>Báo giá của đơn vị Bảo trì thang máy Conimec (điều hòa Funiki)</t>
  </si>
  <si>
    <t>Tạm tính theo giá của điều hòa Funiki, Daikin.</t>
  </si>
  <si>
    <t>Tạm tính</t>
  </si>
  <si>
    <t>Tặng quà cho các cháu</t>
  </si>
  <si>
    <t>Từ 15/12 đến  31/12</t>
  </si>
  <si>
    <t>Tạm tính theo lãi suất hiện tại là 4%</t>
  </si>
  <si>
    <t>Dự phòng chi phí phát sinh</t>
  </si>
  <si>
    <t>Tết thiếu nhi 1/6/2026</t>
  </si>
  <si>
    <t>Tết Nguyên Đán 2026</t>
  </si>
  <si>
    <t>Phó ban -1,5tr, thành viên 1,2tr
(ông Thành đang không nhận thù lao)</t>
  </si>
  <si>
    <t>Dự kiến Tạm tính</t>
  </si>
  <si>
    <t>Tiền thừa từ quỹ thù lao chi trả cho BQT</t>
  </si>
  <si>
    <t>Năm</t>
  </si>
  <si>
    <t>Chi mua máy tính làm việc tại VP BQT</t>
  </si>
  <si>
    <t>Hiện nay Máy tính để bàn Rất cũ, chậm, treo
Các cuộc họp bên ngoài Văn phòng BQT đều phải mượn Laptop của Cá nhân TV BQT hoặc Cư dân</t>
  </si>
  <si>
    <t>1 máy để bàn
1 Laptop</t>
  </si>
  <si>
    <t>Cái</t>
  </si>
  <si>
    <t>1 lần</t>
  </si>
  <si>
    <t>Hội nghị nhà chung cư thường niên 2026</t>
  </si>
  <si>
    <t>Phần thưởng cho các cháu đoạt giải thưởng lớn 
HSG Quốc gia - 500K /1 giải 
(KKQG -300K)
HSG cấp thành phố - 300K/ 1 giải (giải KKTP- 200K)
HSG cấp Quận và Giải nhất cấp trường - 200K/1 giải.</t>
  </si>
  <si>
    <t>Chi mua phần mềm kế toán</t>
  </si>
  <si>
    <t>gói</t>
  </si>
  <si>
    <t>Chi tiền điện điều hòa cho 5 tòa</t>
  </si>
  <si>
    <t>Theo chi tiết</t>
  </si>
  <si>
    <t>Dự kiến 5.000.000/tòa/tháng</t>
  </si>
  <si>
    <t>T1-26</t>
  </si>
  <si>
    <t>T5-26</t>
  </si>
  <si>
    <t>T6-26</t>
  </si>
  <si>
    <t>T9-25</t>
  </si>
  <si>
    <t>T12-25</t>
  </si>
  <si>
    <t>T10-25</t>
  </si>
  <si>
    <t>T9-25-T8-26</t>
  </si>
  <si>
    <t>-</t>
  </si>
  <si>
    <r>
      <rPr>
        <b/>
        <sz val="11"/>
        <rFont val="Times New Roman"/>
        <family val="1"/>
      </rPr>
      <t>Tạm tính</t>
    </r>
    <r>
      <rPr>
        <sz val="11"/>
        <rFont val="Times New Roman"/>
        <family val="1"/>
      </rPr>
      <t xml:space="preserve">
Các cháu học sinh từ lớp 1 đến lớp 12 đang học tập tại Việt Nam. Các giải thưởng phải do Bộ Giáo dục, Sở Giáo dục, Phòng giáo dục Quận tổ chức. 
Các giải thưởng khác (ví dụ Violympic, IOE, Asmo.... do các công ty tổ chức) sẽ không được xem xét tặng thưởng.</t>
    </r>
  </si>
  <si>
    <t>Kĩ thuật</t>
  </si>
  <si>
    <t>Vệ sinh</t>
  </si>
  <si>
    <t>Bảo vệ</t>
  </si>
  <si>
    <t>Quà tết cho nhân sự BQL</t>
  </si>
  <si>
    <t>Lễ tân</t>
  </si>
  <si>
    <t>35 người</t>
  </si>
  <si>
    <t>38 người</t>
  </si>
  <si>
    <t>10 người</t>
  </si>
  <si>
    <t>25 người</t>
  </si>
  <si>
    <t>Tập thể</t>
  </si>
  <si>
    <t>Phần lễ hội - ca nhạc, quà tặng</t>
  </si>
  <si>
    <t>Các bé biểu diễn</t>
  </si>
  <si>
    <t>Cân đối phù hợp giữa chi phí tổ chức sự kiện thuê ngoài và quà tặng cho các con</t>
  </si>
  <si>
    <t>Chi động viên nhân sự Kĩ thuật, Bảo vệ, Vệ sinh lễ tân các đợt xử lý sự cố, chống thiên tai</t>
  </si>
  <si>
    <t>Dự kiến 2 lần/năm:
- 1 lần Bão lũ
- 1 lần Sự cố kỹ thuật</t>
  </si>
  <si>
    <t>15.000.000 cho Laptop
10.000.000 cho PC</t>
  </si>
  <si>
    <t>Giai đoạn 2025-2026 (tính cho 1 năm đến T8/2026)</t>
  </si>
  <si>
    <t>Lãi từ hợp đồng tiền gửi 3 tỷ Quỹ cộng đồng</t>
  </si>
  <si>
    <t>SỐ DƯ ĐẦU KỲ</t>
  </si>
  <si>
    <t>Kết chuyển số dư từ Quỹ vận hành về</t>
  </si>
  <si>
    <t>Tiền thù lao của thừa do Thiếu TV BQT lũy kế từ trước tới nay</t>
  </si>
  <si>
    <t>DỰ KIẾN NGUỒN THU</t>
  </si>
  <si>
    <t>DỰ KIẾN CHI</t>
  </si>
  <si>
    <t>TỒN CUỐI KỲ</t>
  </si>
  <si>
    <t>IV = I + II-III</t>
  </si>
  <si>
    <t>Dự kiến chạy 6 tháng (trừ T12-T3). Trường hợp BQT thống nhất được với BQL phương án khai thác tài sản để trả tiền điện điều hòa thì KHÔNG chi từ quỹ nữa.</t>
  </si>
  <si>
    <t>Thuê nhân sự: 
- Nghiệp vụ kế toán: ghi sổ hàng ngày, kê khai thuế, xuất hoá đơn, lập BCTC  
- Nghiệp vụ văn thư: Soạn thảo văn bản…</t>
  </si>
  <si>
    <t>- Phần mềm Theo báo giá Cty Misa cho 2 năm sử dụng 
- Chi phí thuê dịch vụ kế toán theo dự kiến. Chi phí thực tế có thể thấp hơn,
(Đảm bảo minh bạch công tác tài chính, theo dõi lại toàn bộ hoạt động thu chi của BQT không phụ thuộc vào việc thay đổi nhân sự phụ trách)</t>
  </si>
  <si>
    <t>Ghi chú: Các nội dung trên không bao gồm Chi phí hoạt động của BQT, Do Công ty vận hành chi trả về tài khoản Quỹ cộng đồng. Ban Quản trị có định mức chi phí hoạt động thường xuyên do Công ty vận hành trả theo Hợp đồng vận hành</t>
  </si>
  <si>
    <t>Định biên BQT có 16 người, thực tế hiện nay có 11 người.
Theo HĐVH, tổng thù lao Công ty Vận hành trả lại là 80 triệu, thực tế sử dụng hết 59,5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</si>
</sst>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0_);_(* \(#,##0\);_(* &quot;-&quot;??_);_(@_)"/>
    <numFmt numFmtId="166" formatCode="0.0%"/>
    <numFmt numFmtId="167" formatCode="_-* #,##0_-;\-* #,##0_-;_-* &quot;-&quot;??_-;_-@_-"/>
  </numFmts>
  <fonts count="14" x14ac:knownFonts="1">
    <font>
      <sz val="12"/>
      <color theme="1"/>
      <name val="Times New Roman"/>
      <family val="2"/>
    </font>
    <font>
      <sz val="11"/>
      <color theme="1"/>
      <name val="Calibri"/>
      <family val="2"/>
      <charset val="163"/>
      <scheme val="minor"/>
    </font>
    <font>
      <sz val="11"/>
      <color theme="1"/>
      <name val="Calibri"/>
      <family val="2"/>
      <charset val="163"/>
      <scheme val="minor"/>
    </font>
    <font>
      <sz val="12"/>
      <color theme="1"/>
      <name val="Times New Roman"/>
      <family val="2"/>
    </font>
    <font>
      <sz val="14"/>
      <color theme="1"/>
      <name val="Times New Roman"/>
      <family val="1"/>
    </font>
    <font>
      <sz val="11"/>
      <color theme="1"/>
      <name val="Times New Roman"/>
      <family val="1"/>
    </font>
    <font>
      <b/>
      <sz val="11"/>
      <color theme="1"/>
      <name val="Times New Roman"/>
      <family val="1"/>
    </font>
    <font>
      <sz val="11"/>
      <color theme="1"/>
      <name val="Calibri"/>
      <family val="2"/>
      <scheme val="minor"/>
    </font>
    <font>
      <b/>
      <sz val="12"/>
      <color theme="1"/>
      <name val="Times New Roman"/>
      <family val="1"/>
    </font>
    <font>
      <sz val="11"/>
      <color rgb="FFFF0000"/>
      <name val="Times New Roman"/>
      <family val="1"/>
    </font>
    <font>
      <i/>
      <sz val="11"/>
      <color theme="1"/>
      <name val="Times New Roman"/>
      <family val="1"/>
    </font>
    <font>
      <b/>
      <sz val="15"/>
      <name val="Times New Roman"/>
      <family val="1"/>
    </font>
    <font>
      <b/>
      <sz val="11"/>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43" fontId="3"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41" fontId="3" fillId="0" borderId="0" applyFont="0" applyFill="0" applyBorder="0" applyAlignment="0" applyProtection="0"/>
  </cellStyleXfs>
  <cellXfs count="161">
    <xf numFmtId="0" fontId="0" fillId="0" borderId="0" xfId="0"/>
    <xf numFmtId="0" fontId="5" fillId="0" borderId="0" xfId="3" applyFont="1" applyAlignment="1">
      <alignment vertical="top"/>
    </xf>
    <xf numFmtId="0" fontId="6" fillId="0" borderId="1" xfId="3" applyFont="1" applyBorder="1" applyAlignment="1">
      <alignment horizontal="center" vertical="center" wrapText="1"/>
    </xf>
    <xf numFmtId="0" fontId="6" fillId="0" borderId="0" xfId="3" applyFont="1" applyAlignment="1">
      <alignment horizontal="center" vertical="top" wrapText="1"/>
    </xf>
    <xf numFmtId="0" fontId="6" fillId="0" borderId="0" xfId="3" applyFont="1" applyAlignment="1">
      <alignment horizontal="center" vertical="top"/>
    </xf>
    <xf numFmtId="167" fontId="6" fillId="0" borderId="0" xfId="3" applyNumberFormat="1" applyFont="1" applyAlignment="1">
      <alignment horizontal="center" vertical="top"/>
    </xf>
    <xf numFmtId="167" fontId="6" fillId="0" borderId="0" xfId="4" applyNumberFormat="1" applyFont="1" applyAlignment="1">
      <alignment horizontal="center" vertical="top"/>
    </xf>
    <xf numFmtId="1" fontId="5" fillId="0" borderId="0" xfId="3" applyNumberFormat="1" applyFont="1" applyAlignment="1">
      <alignment vertical="top"/>
    </xf>
    <xf numFmtId="0" fontId="5" fillId="0" borderId="0" xfId="3" applyFont="1" applyAlignment="1">
      <alignment horizontal="left" vertical="top" wrapText="1" indent="1"/>
    </xf>
    <xf numFmtId="167" fontId="5" fillId="0" borderId="0" xfId="4" applyNumberFormat="1" applyFont="1" applyBorder="1" applyAlignment="1">
      <alignment vertical="top"/>
    </xf>
    <xf numFmtId="0" fontId="5" fillId="0" borderId="0" xfId="3" applyFont="1" applyAlignment="1">
      <alignment horizontal="center" vertical="top" wrapText="1"/>
    </xf>
    <xf numFmtId="0" fontId="6" fillId="0" borderId="0" xfId="3" applyFont="1" applyAlignment="1">
      <alignment horizontal="center" vertical="center" wrapText="1"/>
    </xf>
    <xf numFmtId="0" fontId="5" fillId="0" borderId="0" xfId="5" applyFont="1"/>
    <xf numFmtId="0" fontId="5" fillId="0" borderId="0" xfId="3" applyFont="1"/>
    <xf numFmtId="0" fontId="6" fillId="0" borderId="0" xfId="3" applyFont="1" applyAlignment="1">
      <alignment horizontal="center" vertical="center"/>
    </xf>
    <xf numFmtId="0" fontId="6" fillId="0" borderId="0" xfId="3" applyFont="1" applyAlignment="1">
      <alignment horizontal="center"/>
    </xf>
    <xf numFmtId="0" fontId="5" fillId="0" borderId="0" xfId="3" applyFont="1" applyAlignment="1">
      <alignment horizontal="center" vertical="top"/>
    </xf>
    <xf numFmtId="0" fontId="5" fillId="0" borderId="0" xfId="3" applyFont="1" applyAlignment="1">
      <alignment vertical="center"/>
    </xf>
    <xf numFmtId="0" fontId="0" fillId="0" borderId="1" xfId="0" applyBorder="1"/>
    <xf numFmtId="0" fontId="8" fillId="0" borderId="1" xfId="0" applyFont="1" applyBorder="1"/>
    <xf numFmtId="0" fontId="8" fillId="0" borderId="1" xfId="0" applyFont="1" applyBorder="1" applyAlignment="1">
      <alignment horizontal="center" vertical="top"/>
    </xf>
    <xf numFmtId="0" fontId="8" fillId="0" borderId="1" xfId="0" applyFont="1" applyBorder="1" applyAlignment="1">
      <alignment horizontal="center" vertical="top" wrapText="1"/>
    </xf>
    <xf numFmtId="165" fontId="4" fillId="0" borderId="1" xfId="1" applyNumberFormat="1" applyFont="1" applyFill="1" applyBorder="1" applyAlignment="1">
      <alignment horizontal="center" vertical="top"/>
    </xf>
    <xf numFmtId="165" fontId="4" fillId="0" borderId="1" xfId="1" applyNumberFormat="1" applyFont="1" applyFill="1" applyBorder="1" applyAlignment="1">
      <alignment horizontal="left" vertical="top"/>
    </xf>
    <xf numFmtId="165" fontId="4" fillId="0" borderId="1" xfId="1" applyNumberFormat="1" applyFont="1" applyFill="1" applyBorder="1" applyAlignment="1">
      <alignment horizontal="left" vertical="top" wrapText="1"/>
    </xf>
    <xf numFmtId="165" fontId="0" fillId="0" borderId="1" xfId="1" applyNumberFormat="1" applyFont="1" applyFill="1" applyBorder="1" applyAlignment="1">
      <alignment vertical="top"/>
    </xf>
    <xf numFmtId="165" fontId="0" fillId="0" borderId="1" xfId="1" applyNumberFormat="1" applyFont="1" applyBorder="1" applyAlignment="1">
      <alignment vertical="top"/>
    </xf>
    <xf numFmtId="0" fontId="0" fillId="0" borderId="1" xfId="0" applyBorder="1" applyAlignment="1">
      <alignment vertical="top"/>
    </xf>
    <xf numFmtId="0" fontId="6" fillId="0" borderId="0" xfId="3" applyFont="1" applyAlignment="1">
      <alignment vertical="center" wrapText="1"/>
    </xf>
    <xf numFmtId="167" fontId="6" fillId="0" borderId="0" xfId="4" applyNumberFormat="1" applyFont="1" applyFill="1" applyAlignment="1">
      <alignment horizontal="center" vertical="top"/>
    </xf>
    <xf numFmtId="0" fontId="6" fillId="0" borderId="0" xfId="0" applyFont="1" applyAlignment="1">
      <alignment horizontal="center" vertical="center"/>
    </xf>
    <xf numFmtId="0" fontId="6"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top"/>
    </xf>
    <xf numFmtId="165" fontId="5" fillId="0" borderId="0" xfId="0" applyNumberFormat="1" applyFont="1" applyAlignment="1">
      <alignment horizontal="center" vertical="center"/>
    </xf>
    <xf numFmtId="43" fontId="5" fillId="0" borderId="0" xfId="0" applyNumberFormat="1" applyFont="1" applyAlignment="1">
      <alignment horizontal="center" vertical="center"/>
    </xf>
    <xf numFmtId="0" fontId="5" fillId="0" borderId="0" xfId="0" applyFont="1" applyAlignment="1">
      <alignment vertical="center"/>
    </xf>
    <xf numFmtId="0" fontId="9" fillId="0" borderId="0" xfId="0" applyFont="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43" fontId="6" fillId="0" borderId="1" xfId="0" applyNumberFormat="1" applyFont="1" applyBorder="1" applyAlignment="1">
      <alignment horizontal="center" vertical="center" wrapText="1"/>
    </xf>
    <xf numFmtId="43" fontId="6" fillId="0" borderId="0" xfId="0" applyNumberFormat="1" applyFont="1" applyAlignment="1">
      <alignment horizontal="center" vertical="center" wrapText="1"/>
    </xf>
    <xf numFmtId="0" fontId="5" fillId="0" borderId="0" xfId="0" applyFont="1" applyAlignment="1">
      <alignment wrapText="1"/>
    </xf>
    <xf numFmtId="165" fontId="5" fillId="0" borderId="1" xfId="1" applyNumberFormat="1" applyFont="1" applyBorder="1" applyAlignment="1">
      <alignment horizontal="center" vertical="top"/>
    </xf>
    <xf numFmtId="165" fontId="5" fillId="0" borderId="1" xfId="1" applyNumberFormat="1" applyFont="1" applyBorder="1" applyAlignment="1">
      <alignment vertical="top"/>
    </xf>
    <xf numFmtId="165" fontId="5" fillId="0" borderId="0" xfId="1" applyNumberFormat="1" applyFont="1" applyBorder="1" applyAlignment="1">
      <alignment horizontal="center" vertical="top"/>
    </xf>
    <xf numFmtId="165" fontId="9" fillId="0" borderId="0" xfId="1" applyNumberFormat="1" applyFont="1" applyAlignment="1">
      <alignment horizontal="center" vertical="top" wrapText="1"/>
    </xf>
    <xf numFmtId="165" fontId="5" fillId="0" borderId="0" xfId="1" applyNumberFormat="1" applyFont="1" applyAlignment="1">
      <alignment vertical="top"/>
    </xf>
    <xf numFmtId="165" fontId="5" fillId="0" borderId="0" xfId="1" applyNumberFormat="1" applyFont="1" applyFill="1" applyBorder="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top"/>
    </xf>
    <xf numFmtId="165" fontId="5" fillId="0" borderId="0" xfId="1" applyNumberFormat="1" applyFont="1" applyFill="1" applyBorder="1" applyAlignment="1">
      <alignment horizontal="center"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indent="2"/>
    </xf>
    <xf numFmtId="165" fontId="6" fillId="0" borderId="1" xfId="1" applyNumberFormat="1" applyFont="1" applyBorder="1" applyAlignment="1">
      <alignment horizontal="center" vertical="top"/>
    </xf>
    <xf numFmtId="165" fontId="6" fillId="0" borderId="1" xfId="1" applyNumberFormat="1" applyFont="1" applyBorder="1" applyAlignment="1">
      <alignment horizontal="left" vertical="top" wrapText="1" indent="2"/>
    </xf>
    <xf numFmtId="0" fontId="6" fillId="0" borderId="1" xfId="0" applyFont="1" applyBorder="1" applyAlignment="1">
      <alignment horizontal="center" vertical="top" wrapText="1"/>
    </xf>
    <xf numFmtId="0" fontId="6" fillId="0" borderId="1" xfId="0" applyFont="1" applyBorder="1" applyAlignment="1">
      <alignment horizontal="left" vertical="top" wrapText="1" indent="1"/>
    </xf>
    <xf numFmtId="165" fontId="6" fillId="0" borderId="1" xfId="0" applyNumberFormat="1" applyFont="1" applyBorder="1" applyAlignment="1">
      <alignment horizontal="center" vertical="top" wrapText="1"/>
    </xf>
    <xf numFmtId="43" fontId="6" fillId="0" borderId="1" xfId="0" applyNumberFormat="1" applyFont="1" applyBorder="1" applyAlignment="1">
      <alignment horizontal="center" vertical="top" wrapText="1"/>
    </xf>
    <xf numFmtId="165" fontId="5" fillId="0" borderId="5" xfId="1" applyNumberFormat="1" applyFont="1" applyBorder="1" applyAlignment="1">
      <alignment horizontal="center" vertical="top" wrapText="1"/>
    </xf>
    <xf numFmtId="0" fontId="6"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165" fontId="5" fillId="0" borderId="0" xfId="0" applyNumberFormat="1" applyFont="1" applyAlignment="1">
      <alignment horizontal="center" vertical="top"/>
    </xf>
    <xf numFmtId="43" fontId="5" fillId="0" borderId="0" xfId="0" applyNumberFormat="1" applyFont="1" applyAlignment="1">
      <alignment horizontal="center" vertical="top"/>
    </xf>
    <xf numFmtId="0" fontId="9"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horizontal="left" vertical="top" wrapText="1"/>
    </xf>
    <xf numFmtId="165" fontId="5" fillId="0" borderId="1" xfId="1" applyNumberFormat="1" applyFont="1" applyBorder="1" applyAlignment="1">
      <alignment horizontal="left" vertical="top" wrapText="1" indent="2"/>
    </xf>
    <xf numFmtId="165" fontId="5" fillId="3" borderId="1" xfId="1" applyNumberFormat="1" applyFont="1" applyFill="1" applyBorder="1" applyAlignment="1">
      <alignment horizontal="center" vertical="top"/>
    </xf>
    <xf numFmtId="0" fontId="5" fillId="0" borderId="1" xfId="0" applyFont="1" applyBorder="1" applyAlignment="1">
      <alignment horizontal="left" vertical="center" wrapText="1" indent="2"/>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65"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41" fontId="5" fillId="0" borderId="1" xfId="6" applyFont="1" applyBorder="1" applyAlignment="1">
      <alignment horizontal="center" vertical="center"/>
    </xf>
    <xf numFmtId="165" fontId="5" fillId="0" borderId="1" xfId="1" applyNumberFormat="1" applyFont="1" applyFill="1" applyBorder="1" applyAlignment="1">
      <alignment horizontal="center" vertical="center"/>
    </xf>
    <xf numFmtId="43" fontId="5" fillId="2" borderId="1" xfId="0" applyNumberFormat="1" applyFont="1" applyFill="1" applyBorder="1" applyAlignment="1">
      <alignment horizontal="center" vertical="center" wrapText="1"/>
    </xf>
    <xf numFmtId="43" fontId="5" fillId="2" borderId="1" xfId="0" applyNumberFormat="1" applyFont="1" applyFill="1" applyBorder="1" applyAlignment="1">
      <alignment horizontal="left" vertical="center" wrapText="1"/>
    </xf>
    <xf numFmtId="43" fontId="5" fillId="0" borderId="0" xfId="0" applyNumberFormat="1" applyFont="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43" fontId="5" fillId="2" borderId="1" xfId="0" applyNumberFormat="1" applyFont="1" applyFill="1" applyBorder="1" applyAlignment="1">
      <alignment horizontal="center" vertical="center"/>
    </xf>
    <xf numFmtId="43" fontId="5" fillId="0" borderId="1" xfId="0" applyNumberFormat="1" applyFont="1" applyBorder="1" applyAlignment="1">
      <alignment horizontal="left" vertical="center" wrapText="1"/>
    </xf>
    <xf numFmtId="165" fontId="5" fillId="0" borderId="1" xfId="1" applyNumberFormat="1" applyFont="1" applyBorder="1" applyAlignment="1">
      <alignment vertical="center"/>
    </xf>
    <xf numFmtId="165" fontId="5" fillId="0" borderId="1" xfId="1" applyNumberFormat="1" applyFont="1" applyBorder="1" applyAlignment="1">
      <alignment horizontal="left" vertical="center" wrapText="1"/>
    </xf>
    <xf numFmtId="43" fontId="5" fillId="0" borderId="1" xfId="0" applyNumberFormat="1" applyFont="1" applyBorder="1" applyAlignment="1">
      <alignment horizontal="left" vertical="center"/>
    </xf>
    <xf numFmtId="165" fontId="5" fillId="0" borderId="1" xfId="1" applyNumberFormat="1" applyFont="1" applyBorder="1" applyAlignment="1">
      <alignment horizontal="left" vertical="center"/>
    </xf>
    <xf numFmtId="0" fontId="5" fillId="0" borderId="1" xfId="0" applyFont="1" applyBorder="1" applyAlignment="1">
      <alignment horizontal="left" vertical="center"/>
    </xf>
    <xf numFmtId="165" fontId="5" fillId="0" borderId="0" xfId="1" applyNumberFormat="1" applyFont="1" applyBorder="1" applyAlignment="1">
      <alignment horizontal="center" vertical="center"/>
    </xf>
    <xf numFmtId="165" fontId="9" fillId="0" borderId="0" xfId="1" applyNumberFormat="1" applyFont="1" applyAlignment="1">
      <alignment horizontal="center" vertical="center" wrapText="1"/>
    </xf>
    <xf numFmtId="165" fontId="5" fillId="0" borderId="0" xfId="1" applyNumberFormat="1" applyFont="1" applyAlignment="1">
      <alignment vertical="center"/>
    </xf>
    <xf numFmtId="166" fontId="5" fillId="0" borderId="1" xfId="2" applyNumberFormat="1" applyFont="1" applyBorder="1" applyAlignment="1">
      <alignment vertical="center"/>
    </xf>
    <xf numFmtId="165" fontId="5" fillId="0" borderId="1" xfId="1" applyNumberFormat="1" applyFont="1" applyBorder="1" applyAlignment="1">
      <alignment horizontal="center" vertical="center" wrapText="1"/>
    </xf>
    <xf numFmtId="165" fontId="5" fillId="0" borderId="0" xfId="1" applyNumberFormat="1" applyFont="1" applyBorder="1" applyAlignment="1">
      <alignment horizontal="center" vertical="center" wrapText="1"/>
    </xf>
    <xf numFmtId="165" fontId="9" fillId="0" borderId="0" xfId="1" applyNumberFormat="1" applyFont="1" applyAlignment="1">
      <alignment horizontal="right"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165" fontId="6" fillId="0" borderId="1" xfId="0" applyNumberFormat="1" applyFont="1" applyBorder="1" applyAlignment="1">
      <alignment horizontal="center" vertical="center"/>
    </xf>
    <xf numFmtId="43" fontId="5" fillId="0" borderId="1" xfId="0" applyNumberFormat="1" applyFont="1" applyBorder="1" applyAlignment="1">
      <alignment horizontal="center" vertical="center"/>
    </xf>
    <xf numFmtId="167" fontId="13" fillId="0" borderId="1" xfId="4" applyNumberFormat="1" applyFont="1" applyFill="1" applyBorder="1" applyAlignment="1">
      <alignment vertical="top"/>
    </xf>
    <xf numFmtId="167" fontId="12" fillId="0" borderId="1" xfId="4" applyNumberFormat="1" applyFont="1" applyFill="1" applyBorder="1" applyAlignment="1">
      <alignment vertical="top"/>
    </xf>
    <xf numFmtId="0" fontId="12" fillId="0" borderId="1" xfId="3" applyFont="1" applyBorder="1" applyAlignment="1">
      <alignment horizontal="center" vertical="center" wrapText="1"/>
    </xf>
    <xf numFmtId="0" fontId="12" fillId="0" borderId="0" xfId="3" applyFont="1" applyAlignment="1">
      <alignment horizontal="center" vertical="center" wrapText="1"/>
    </xf>
    <xf numFmtId="0" fontId="12" fillId="0" borderId="1" xfId="3" applyFont="1" applyBorder="1" applyAlignment="1">
      <alignment horizontal="center" vertical="top" wrapText="1"/>
    </xf>
    <xf numFmtId="0" fontId="12" fillId="0" borderId="1" xfId="3" applyFont="1" applyBorder="1" applyAlignment="1">
      <alignment horizontal="left" vertical="top" wrapText="1"/>
    </xf>
    <xf numFmtId="167" fontId="12" fillId="0" borderId="1" xfId="3" applyNumberFormat="1" applyFont="1" applyBorder="1" applyAlignment="1">
      <alignment horizontal="center" vertical="center" wrapText="1"/>
    </xf>
    <xf numFmtId="0" fontId="12" fillId="0" borderId="0" xfId="3" applyFont="1" applyAlignment="1">
      <alignment horizontal="center" vertical="top" wrapText="1"/>
    </xf>
    <xf numFmtId="0" fontId="13" fillId="0" borderId="1" xfId="3" applyFont="1" applyBorder="1" applyAlignment="1">
      <alignment horizontal="center" vertical="top"/>
    </xf>
    <xf numFmtId="0" fontId="13" fillId="0" borderId="1" xfId="3" applyFont="1" applyBorder="1" applyAlignment="1">
      <alignment horizontal="center" vertical="top" wrapText="1"/>
    </xf>
    <xf numFmtId="0" fontId="13" fillId="0" borderId="1" xfId="3" applyFont="1" applyBorder="1" applyAlignment="1">
      <alignment horizontal="center" vertical="center"/>
    </xf>
    <xf numFmtId="167" fontId="13" fillId="0" borderId="1" xfId="3" applyNumberFormat="1" applyFont="1" applyBorder="1" applyAlignment="1">
      <alignment horizontal="center" vertical="top" wrapText="1"/>
    </xf>
    <xf numFmtId="0" fontId="12" fillId="0" borderId="0" xfId="3" applyFont="1" applyAlignment="1">
      <alignment horizontal="center" vertical="top"/>
    </xf>
    <xf numFmtId="16" fontId="12" fillId="0" borderId="1" xfId="3" applyNumberFormat="1" applyFont="1" applyBorder="1" applyAlignment="1">
      <alignment horizontal="center" vertical="top" wrapText="1"/>
    </xf>
    <xf numFmtId="0" fontId="12" fillId="0" borderId="1" xfId="3" applyFont="1" applyBorder="1" applyAlignment="1">
      <alignment horizontal="center" vertical="top"/>
    </xf>
    <xf numFmtId="0" fontId="12" fillId="0" borderId="1" xfId="3" applyFont="1" applyBorder="1" applyAlignment="1">
      <alignment horizontal="left" vertical="top" wrapText="1" indent="1"/>
    </xf>
    <xf numFmtId="0" fontId="13" fillId="0" borderId="1" xfId="3" applyFont="1" applyBorder="1" applyAlignment="1">
      <alignment horizontal="left" vertical="center" wrapText="1"/>
    </xf>
    <xf numFmtId="0" fontId="13" fillId="0" borderId="2" xfId="3" applyFont="1" applyBorder="1" applyAlignment="1">
      <alignment horizontal="center" vertical="center" wrapText="1"/>
    </xf>
    <xf numFmtId="167" fontId="13" fillId="0" borderId="1" xfId="4" applyNumberFormat="1" applyFont="1" applyFill="1" applyBorder="1" applyAlignment="1">
      <alignment vertical="center"/>
    </xf>
    <xf numFmtId="0" fontId="12" fillId="0" borderId="0" xfId="3" applyFont="1" applyAlignment="1">
      <alignment horizontal="center" vertical="center"/>
    </xf>
    <xf numFmtId="167" fontId="6" fillId="0" borderId="0" xfId="4" applyNumberFormat="1" applyFont="1" applyFill="1" applyAlignment="1">
      <alignment horizontal="center" vertical="center"/>
    </xf>
    <xf numFmtId="165" fontId="5" fillId="0" borderId="0" xfId="0" applyNumberFormat="1" applyFont="1" applyAlignment="1">
      <alignment vertical="center"/>
    </xf>
    <xf numFmtId="0" fontId="13" fillId="0" borderId="1" xfId="3" quotePrefix="1" applyFont="1" applyBorder="1" applyAlignment="1">
      <alignment horizontal="center" vertical="top"/>
    </xf>
    <xf numFmtId="0" fontId="13" fillId="0" borderId="1" xfId="3" applyFont="1" applyBorder="1" applyAlignment="1">
      <alignment horizontal="center" vertical="center" wrapText="1"/>
    </xf>
    <xf numFmtId="0" fontId="13" fillId="0" borderId="1" xfId="3" applyFont="1" applyBorder="1" applyAlignment="1">
      <alignment vertical="top"/>
    </xf>
    <xf numFmtId="0" fontId="13" fillId="0" borderId="1" xfId="3" applyFont="1" applyBorder="1" applyAlignment="1">
      <alignment vertical="top" wrapText="1"/>
    </xf>
    <xf numFmtId="0" fontId="12" fillId="0" borderId="1" xfId="3" applyFont="1" applyBorder="1" applyAlignment="1">
      <alignment vertical="top" wrapText="1"/>
    </xf>
    <xf numFmtId="167" fontId="13" fillId="0" borderId="1" xfId="3" applyNumberFormat="1" applyFont="1" applyBorder="1" applyAlignment="1">
      <alignment horizontal="left" vertical="top" wrapText="1"/>
    </xf>
    <xf numFmtId="0" fontId="13" fillId="0" borderId="1" xfId="3" applyFont="1" applyBorder="1" applyAlignment="1">
      <alignment horizontal="left" vertical="center"/>
    </xf>
    <xf numFmtId="167" fontId="13" fillId="0" borderId="5" xfId="3" applyNumberFormat="1" applyFont="1" applyBorder="1" applyAlignment="1">
      <alignment horizontal="left" vertical="top" wrapText="1"/>
    </xf>
    <xf numFmtId="41" fontId="5" fillId="0" borderId="1" xfId="6"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1" xfId="0" applyFont="1" applyBorder="1" applyAlignment="1">
      <alignment horizontal="center" vertical="center"/>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0" fontId="11" fillId="0" borderId="0" xfId="3" applyFont="1" applyAlignment="1">
      <alignment horizontal="center" vertical="center"/>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4" xfId="3" applyFont="1" applyBorder="1" applyAlignment="1">
      <alignment horizontal="center" vertical="center" wrapText="1"/>
    </xf>
    <xf numFmtId="167" fontId="13" fillId="0" borderId="5" xfId="3" applyNumberFormat="1" applyFont="1" applyBorder="1" applyAlignment="1">
      <alignment horizontal="left" vertical="center" wrapText="1"/>
    </xf>
    <xf numFmtId="167" fontId="13" fillId="0" borderId="6" xfId="3" applyNumberFormat="1" applyFont="1" applyBorder="1" applyAlignment="1">
      <alignment horizontal="left" vertical="center" wrapText="1"/>
    </xf>
    <xf numFmtId="167" fontId="13" fillId="0" borderId="7" xfId="3" applyNumberFormat="1" applyFont="1" applyBorder="1" applyAlignment="1">
      <alignment horizontal="left" vertical="center" wrapText="1"/>
    </xf>
    <xf numFmtId="0" fontId="8" fillId="0" borderId="0" xfId="0" applyFont="1" applyAlignment="1">
      <alignment horizontal="center"/>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cellXfs>
  <cellStyles count="7">
    <cellStyle name="Comma" xfId="1" builtinId="3"/>
    <cellStyle name="Comma [0]" xfId="6" builtinId="6"/>
    <cellStyle name="Comma 2" xfId="4" xr:uid="{00000000-0005-0000-0000-000002000000}"/>
    <cellStyle name="Normal" xfId="0" builtinId="0"/>
    <cellStyle name="Normal 2" xfId="3" xr:uid="{00000000-0005-0000-0000-000004000000}"/>
    <cellStyle name="Normal 2 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zoomScaleNormal="100" zoomScaleSheetLayoutView="70" zoomScalePageLayoutView="70" workbookViewId="0">
      <pane xSplit="1" ySplit="4" topLeftCell="B5" activePane="bottomRight" state="frozen"/>
      <selection pane="topRight" activeCell="B1" sqref="B1"/>
      <selection pane="bottomLeft" activeCell="A5" sqref="A5"/>
      <selection pane="bottomRight" activeCell="G5" sqref="G5"/>
    </sheetView>
  </sheetViews>
  <sheetFormatPr defaultColWidth="9" defaultRowHeight="13.9" x14ac:dyDescent="0.4"/>
  <cols>
    <col min="1" max="1" width="5.125" style="33" customWidth="1"/>
    <col min="2" max="2" width="35.625" style="34" customWidth="1"/>
    <col min="3" max="4" width="13.125" style="32" customWidth="1"/>
    <col min="5" max="5" width="10.5" style="35" customWidth="1"/>
    <col min="6" max="6" width="19.875" style="33" customWidth="1"/>
    <col min="7" max="7" width="21.125" style="36" customWidth="1"/>
    <col min="8" max="8" width="26.125" style="37" customWidth="1"/>
    <col min="9" max="10" width="32.625" style="38" customWidth="1"/>
    <col min="11" max="11" width="29.875" style="51" hidden="1" customWidth="1"/>
    <col min="12" max="12" width="31.875" style="52" hidden="1" customWidth="1"/>
    <col min="13" max="13" width="25" style="32" customWidth="1"/>
    <col min="14" max="16384" width="9" style="32"/>
  </cols>
  <sheetData>
    <row r="1" spans="1:13" ht="41.25" customHeight="1" x14ac:dyDescent="0.4">
      <c r="A1" s="141" t="s">
        <v>10</v>
      </c>
      <c r="B1" s="141"/>
      <c r="C1" s="141"/>
      <c r="D1" s="141"/>
      <c r="E1" s="141"/>
      <c r="F1" s="141"/>
      <c r="G1" s="141"/>
      <c r="H1" s="141"/>
      <c r="I1" s="141"/>
      <c r="J1" s="30"/>
      <c r="K1" s="31"/>
      <c r="L1" s="31"/>
      <c r="M1" s="31"/>
    </row>
    <row r="2" spans="1:13" ht="24" customHeight="1" x14ac:dyDescent="0.4">
      <c r="A2" s="141" t="s">
        <v>70</v>
      </c>
      <c r="B2" s="141"/>
      <c r="C2" s="141"/>
      <c r="D2" s="141"/>
      <c r="E2" s="141"/>
      <c r="F2" s="141"/>
      <c r="G2" s="141"/>
      <c r="H2" s="141"/>
      <c r="I2" s="141"/>
      <c r="J2" s="30"/>
      <c r="K2" s="31"/>
      <c r="L2" s="31"/>
      <c r="M2" s="31"/>
    </row>
    <row r="3" spans="1:13" x14ac:dyDescent="0.4">
      <c r="K3" s="39"/>
      <c r="L3" s="32"/>
    </row>
    <row r="4" spans="1:13" s="44" customFormat="1" ht="54" customHeight="1" x14ac:dyDescent="0.4">
      <c r="A4" s="40" t="s">
        <v>0</v>
      </c>
      <c r="B4" s="40" t="s">
        <v>1</v>
      </c>
      <c r="C4" s="40" t="s">
        <v>2</v>
      </c>
      <c r="D4" s="40" t="s">
        <v>102</v>
      </c>
      <c r="E4" s="40" t="s">
        <v>3</v>
      </c>
      <c r="F4" s="40" t="s">
        <v>4</v>
      </c>
      <c r="G4" s="41" t="s">
        <v>5</v>
      </c>
      <c r="H4" s="42" t="s">
        <v>6</v>
      </c>
      <c r="I4" s="42" t="s">
        <v>7</v>
      </c>
      <c r="J4" s="43"/>
      <c r="K4" s="39"/>
    </row>
    <row r="5" spans="1:13" s="44" customFormat="1" ht="44.25" customHeight="1" x14ac:dyDescent="0.4">
      <c r="A5" s="40" t="s">
        <v>8</v>
      </c>
      <c r="B5" s="57" t="s">
        <v>75</v>
      </c>
      <c r="C5" s="40" t="s">
        <v>73</v>
      </c>
      <c r="D5" s="40" t="s">
        <v>103</v>
      </c>
      <c r="E5" s="40"/>
      <c r="F5" s="40"/>
      <c r="G5" s="41">
        <f>+G6+G7</f>
        <v>3597768703</v>
      </c>
      <c r="H5" s="42"/>
      <c r="I5" s="42"/>
      <c r="J5" s="43"/>
      <c r="K5" s="39"/>
    </row>
    <row r="6" spans="1:13" s="44" customFormat="1" ht="44.25" customHeight="1" x14ac:dyDescent="0.4">
      <c r="A6" s="76">
        <v>1</v>
      </c>
      <c r="B6" s="75" t="s">
        <v>100</v>
      </c>
      <c r="C6" s="76"/>
      <c r="D6" s="76"/>
      <c r="E6" s="76"/>
      <c r="F6" s="76"/>
      <c r="G6" s="77">
        <v>3072168703</v>
      </c>
      <c r="H6" s="42"/>
      <c r="I6" s="42"/>
      <c r="J6" s="43"/>
      <c r="K6" s="39"/>
    </row>
    <row r="7" spans="1:13" s="44" customFormat="1" ht="44.25" customHeight="1" x14ac:dyDescent="0.4">
      <c r="A7" s="76">
        <v>2</v>
      </c>
      <c r="B7" s="75" t="s">
        <v>101</v>
      </c>
      <c r="C7" s="76"/>
      <c r="D7" s="76"/>
      <c r="E7" s="76"/>
      <c r="F7" s="76"/>
      <c r="G7" s="77">
        <v>525600000</v>
      </c>
      <c r="H7" s="42"/>
      <c r="I7" s="42"/>
      <c r="J7" s="43"/>
      <c r="K7" s="39"/>
    </row>
    <row r="8" spans="1:13" s="44" customFormat="1" ht="37.5" customHeight="1" x14ac:dyDescent="0.4">
      <c r="A8" s="40" t="s">
        <v>71</v>
      </c>
      <c r="B8" s="57" t="s">
        <v>76</v>
      </c>
      <c r="C8" s="40" t="s">
        <v>73</v>
      </c>
      <c r="D8" s="40"/>
      <c r="E8" s="40"/>
      <c r="F8" s="40"/>
      <c r="G8" s="41">
        <f>+'TH Chi Quỹ Cộng đồng'!F6</f>
        <v>1544161017</v>
      </c>
      <c r="H8" s="42"/>
      <c r="I8" s="42"/>
      <c r="J8" s="43"/>
      <c r="K8" s="39"/>
    </row>
    <row r="9" spans="1:13" s="44" customFormat="1" ht="37.5" customHeight="1" x14ac:dyDescent="0.4">
      <c r="A9" s="40" t="s">
        <v>53</v>
      </c>
      <c r="B9" s="57" t="s">
        <v>77</v>
      </c>
      <c r="C9" s="40" t="s">
        <v>73</v>
      </c>
      <c r="D9" s="40"/>
      <c r="E9" s="40"/>
      <c r="F9" s="40"/>
      <c r="G9" s="41">
        <f>+'TH Chi Quỹ Cộng đồng'!F14</f>
        <v>1003150000</v>
      </c>
      <c r="H9" s="42"/>
      <c r="I9" s="42"/>
      <c r="J9" s="43"/>
      <c r="K9" s="39"/>
    </row>
    <row r="10" spans="1:13" s="49" customFormat="1" x14ac:dyDescent="0.45">
      <c r="A10" s="58" t="s">
        <v>72</v>
      </c>
      <c r="B10" s="59" t="s">
        <v>90</v>
      </c>
      <c r="C10" s="58"/>
      <c r="D10" s="40" t="s">
        <v>104</v>
      </c>
      <c r="E10" s="46"/>
      <c r="F10" s="45"/>
      <c r="G10" s="58">
        <f>+G11+G12</f>
        <v>1265102000</v>
      </c>
      <c r="H10" s="64"/>
      <c r="I10" s="64"/>
      <c r="J10" s="47"/>
      <c r="K10" s="48"/>
    </row>
    <row r="11" spans="1:13" s="49" customFormat="1" ht="41.65" x14ac:dyDescent="0.45">
      <c r="A11" s="45">
        <v>1</v>
      </c>
      <c r="B11" s="73" t="s">
        <v>89</v>
      </c>
      <c r="C11" s="45" t="s">
        <v>94</v>
      </c>
      <c r="D11" s="45"/>
      <c r="E11" s="46">
        <v>5</v>
      </c>
      <c r="F11" s="45">
        <v>93020400</v>
      </c>
      <c r="G11" s="45">
        <f>+F11*E11</f>
        <v>465102000</v>
      </c>
      <c r="H11" s="64" t="s">
        <v>91</v>
      </c>
      <c r="I11" s="64" t="s">
        <v>106</v>
      </c>
      <c r="J11" s="47"/>
      <c r="K11" s="48"/>
    </row>
    <row r="12" spans="1:13" s="49" customFormat="1" ht="41.65" x14ac:dyDescent="0.45">
      <c r="A12" s="45">
        <v>2</v>
      </c>
      <c r="B12" s="73" t="s">
        <v>92</v>
      </c>
      <c r="C12" s="45" t="s">
        <v>93</v>
      </c>
      <c r="D12" s="45"/>
      <c r="E12" s="46">
        <v>10</v>
      </c>
      <c r="F12" s="74">
        <v>80000000</v>
      </c>
      <c r="G12" s="74">
        <f>+F12*E12</f>
        <v>800000000</v>
      </c>
      <c r="H12" s="64" t="s">
        <v>91</v>
      </c>
      <c r="I12" s="64" t="s">
        <v>107</v>
      </c>
      <c r="J12" s="47"/>
      <c r="K12" s="48"/>
    </row>
    <row r="13" spans="1:13" ht="44.25" customHeight="1" x14ac:dyDescent="0.4">
      <c r="A13" s="60" t="s">
        <v>74</v>
      </c>
      <c r="B13" s="61" t="s">
        <v>78</v>
      </c>
      <c r="C13" s="60" t="s">
        <v>73</v>
      </c>
      <c r="D13" s="60" t="s">
        <v>105</v>
      </c>
      <c r="E13" s="60"/>
      <c r="F13" s="60"/>
      <c r="G13" s="62">
        <f>+G5+G8-G9-G10</f>
        <v>2873677720</v>
      </c>
      <c r="H13" s="63"/>
      <c r="I13" s="63"/>
      <c r="J13" s="37"/>
      <c r="K13" s="39"/>
      <c r="L13" s="32"/>
    </row>
    <row r="14" spans="1:13" s="52" customFormat="1" x14ac:dyDescent="0.4">
      <c r="A14" s="33"/>
      <c r="B14" s="34"/>
      <c r="C14" s="32"/>
      <c r="D14" s="32"/>
      <c r="E14" s="35"/>
      <c r="F14" s="50"/>
      <c r="G14" s="36"/>
      <c r="H14" s="37"/>
      <c r="I14" s="38"/>
      <c r="J14" s="38"/>
      <c r="K14" s="51"/>
      <c r="M14" s="32"/>
    </row>
    <row r="15" spans="1:13" s="52" customFormat="1" x14ac:dyDescent="0.4">
      <c r="A15" s="33"/>
      <c r="B15" s="32"/>
      <c r="C15" s="30"/>
      <c r="D15" s="30"/>
      <c r="E15" s="53"/>
      <c r="F15" s="54"/>
      <c r="G15" s="36"/>
      <c r="H15" s="37"/>
      <c r="I15" s="38"/>
      <c r="J15" s="38"/>
      <c r="K15" s="55"/>
      <c r="M15" s="32"/>
    </row>
    <row r="16" spans="1:13" s="52" customFormat="1" ht="44.25" customHeight="1" x14ac:dyDescent="0.4">
      <c r="A16" s="33"/>
      <c r="B16" s="11" t="s">
        <v>27</v>
      </c>
      <c r="C16" s="3"/>
      <c r="D16" s="3"/>
      <c r="E16" s="11"/>
      <c r="F16" s="11" t="s">
        <v>79</v>
      </c>
      <c r="G16" s="11"/>
      <c r="H16" s="28"/>
      <c r="I16" s="11" t="s">
        <v>28</v>
      </c>
      <c r="J16" s="11"/>
      <c r="K16" s="56"/>
      <c r="M16" s="32"/>
    </row>
    <row r="17" spans="2:10" x14ac:dyDescent="0.4">
      <c r="B17" s="13"/>
      <c r="C17" s="16"/>
      <c r="D17" s="16"/>
      <c r="E17" s="13"/>
      <c r="F17" s="13"/>
      <c r="G17" s="13"/>
      <c r="H17" s="14"/>
      <c r="I17" s="14"/>
      <c r="J17" s="14"/>
    </row>
    <row r="18" spans="2:10" x14ac:dyDescent="0.4">
      <c r="B18" s="13"/>
      <c r="C18" s="16"/>
      <c r="D18" s="16"/>
      <c r="E18" s="13"/>
      <c r="F18" s="13"/>
      <c r="G18" s="13"/>
      <c r="H18" s="14"/>
      <c r="I18" s="14"/>
      <c r="J18" s="14"/>
    </row>
    <row r="19" spans="2:10" x14ac:dyDescent="0.4">
      <c r="B19" s="13"/>
      <c r="C19" s="16"/>
      <c r="D19" s="16"/>
      <c r="E19" s="13"/>
      <c r="F19" s="13"/>
      <c r="G19" s="13"/>
      <c r="H19" s="14"/>
      <c r="I19" s="14"/>
      <c r="J19" s="14"/>
    </row>
    <row r="20" spans="2:10" x14ac:dyDescent="0.4">
      <c r="B20" s="15" t="s">
        <v>96</v>
      </c>
      <c r="C20" s="4"/>
      <c r="D20" s="4"/>
      <c r="E20" s="15"/>
      <c r="F20" s="15" t="s">
        <v>55</v>
      </c>
      <c r="G20" s="15"/>
      <c r="H20" s="14"/>
      <c r="I20" s="14" t="s">
        <v>80</v>
      </c>
      <c r="J20" s="14"/>
    </row>
    <row r="21" spans="2:10" x14ac:dyDescent="0.4">
      <c r="B21" s="1"/>
      <c r="C21" s="16"/>
      <c r="D21" s="16"/>
      <c r="E21" s="1"/>
      <c r="F21" s="1"/>
      <c r="G21" s="1"/>
      <c r="H21" s="14"/>
      <c r="I21" s="12"/>
      <c r="J21" s="12"/>
    </row>
  </sheetData>
  <mergeCells count="2">
    <mergeCell ref="A1:I1"/>
    <mergeCell ref="A2:I2"/>
  </mergeCells>
  <pageMargins left="0.15748031496062992" right="0.11811023622047245" top="0.74803149606299213" bottom="0.35433070866141736"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abSelected="1" zoomScale="85" zoomScaleNormal="85" zoomScaleSheetLayoutView="70" zoomScalePageLayoutView="70" workbookViewId="0">
      <pane xSplit="1" ySplit="4" topLeftCell="B25" activePane="bottomRight" state="frozen"/>
      <selection pane="topRight" activeCell="B1" sqref="B1"/>
      <selection pane="bottomLeft" activeCell="A5" sqref="A5"/>
      <selection pane="bottomRight" sqref="A1:H28"/>
    </sheetView>
  </sheetViews>
  <sheetFormatPr defaultColWidth="9" defaultRowHeight="13.9" x14ac:dyDescent="0.45"/>
  <cols>
    <col min="1" max="1" width="5.125" style="66" customWidth="1"/>
    <col min="2" max="2" width="18.625" style="67" customWidth="1"/>
    <col min="3" max="3" width="9.125" style="35" customWidth="1"/>
    <col min="4" max="4" width="7.75" style="35" customWidth="1"/>
    <col min="5" max="5" width="10.375" style="66" customWidth="1"/>
    <col min="6" max="6" width="13.0625" style="68" customWidth="1"/>
    <col min="7" max="7" width="12.6875" style="69" customWidth="1"/>
    <col min="8" max="8" width="19.625" style="35" customWidth="1"/>
    <col min="9" max="9" width="32.625" style="35" customWidth="1"/>
    <col min="10" max="10" width="29.875" style="71" hidden="1" customWidth="1"/>
    <col min="11" max="11" width="31.875" style="72" hidden="1" customWidth="1"/>
    <col min="12" max="12" width="25" style="35" customWidth="1"/>
    <col min="13" max="16384" width="9" style="35"/>
  </cols>
  <sheetData>
    <row r="1" spans="1:12" ht="62.25" customHeight="1" x14ac:dyDescent="0.45">
      <c r="A1" s="142" t="s">
        <v>95</v>
      </c>
      <c r="B1" s="141"/>
      <c r="C1" s="141"/>
      <c r="D1" s="141"/>
      <c r="E1" s="141"/>
      <c r="F1" s="141"/>
      <c r="G1" s="141"/>
      <c r="H1" s="141"/>
      <c r="I1" s="65"/>
      <c r="J1" s="53"/>
      <c r="K1" s="53"/>
      <c r="L1" s="53"/>
    </row>
    <row r="2" spans="1:12" x14ac:dyDescent="0.45">
      <c r="A2" s="143" t="s">
        <v>156</v>
      </c>
      <c r="B2" s="143"/>
      <c r="C2" s="143"/>
      <c r="D2" s="143"/>
      <c r="E2" s="143"/>
      <c r="F2" s="143"/>
      <c r="G2" s="143"/>
      <c r="H2" s="143"/>
      <c r="I2" s="65"/>
      <c r="J2" s="53"/>
      <c r="K2" s="53"/>
      <c r="L2" s="53"/>
    </row>
    <row r="3" spans="1:12" x14ac:dyDescent="0.45">
      <c r="J3" s="70"/>
      <c r="K3" s="35"/>
    </row>
    <row r="4" spans="1:12" s="78" customFormat="1" ht="27" x14ac:dyDescent="0.45">
      <c r="A4" s="40" t="s">
        <v>0</v>
      </c>
      <c r="B4" s="40" t="s">
        <v>1</v>
      </c>
      <c r="C4" s="40" t="s">
        <v>2</v>
      </c>
      <c r="D4" s="40" t="s">
        <v>3</v>
      </c>
      <c r="E4" s="40" t="s">
        <v>4</v>
      </c>
      <c r="F4" s="41" t="s">
        <v>5</v>
      </c>
      <c r="G4" s="42" t="s">
        <v>6</v>
      </c>
      <c r="H4" s="42" t="s">
        <v>7</v>
      </c>
      <c r="I4" s="43"/>
      <c r="J4" s="39"/>
    </row>
    <row r="5" spans="1:12" s="78" customFormat="1" ht="24" customHeight="1" x14ac:dyDescent="0.45">
      <c r="A5" s="40" t="s">
        <v>8</v>
      </c>
      <c r="B5" s="40" t="s">
        <v>158</v>
      </c>
      <c r="C5" s="40"/>
      <c r="D5" s="40"/>
      <c r="E5" s="40"/>
      <c r="F5" s="105">
        <v>3630885242</v>
      </c>
      <c r="G5" s="42"/>
      <c r="H5" s="42"/>
      <c r="I5" s="43"/>
      <c r="J5" s="39"/>
    </row>
    <row r="6" spans="1:12" s="38" customFormat="1" ht="24" customHeight="1" x14ac:dyDescent="0.45">
      <c r="A6" s="86" t="s">
        <v>71</v>
      </c>
      <c r="B6" s="103" t="s">
        <v>161</v>
      </c>
      <c r="C6" s="86"/>
      <c r="D6" s="104"/>
      <c r="E6" s="86"/>
      <c r="F6" s="105">
        <f>+SUM(F7:F13)</f>
        <v>1544161017</v>
      </c>
      <c r="G6" s="106"/>
      <c r="H6" s="106"/>
      <c r="I6" s="37"/>
      <c r="J6" s="39"/>
    </row>
    <row r="7" spans="1:12" s="98" customFormat="1" ht="30.75" customHeight="1" x14ac:dyDescent="0.45">
      <c r="A7" s="79">
        <v>1</v>
      </c>
      <c r="B7" s="92" t="s">
        <v>11</v>
      </c>
      <c r="C7" s="79" t="s">
        <v>12</v>
      </c>
      <c r="D7" s="91">
        <v>12</v>
      </c>
      <c r="E7" s="79">
        <f>40*10^6</f>
        <v>40000000</v>
      </c>
      <c r="F7" s="79">
        <f>+E7*D7</f>
        <v>480000000</v>
      </c>
      <c r="G7" s="79" t="s">
        <v>54</v>
      </c>
      <c r="H7" s="94"/>
      <c r="I7" s="96"/>
      <c r="J7" s="97"/>
    </row>
    <row r="8" spans="1:12" s="98" customFormat="1" ht="27.75" x14ac:dyDescent="0.45">
      <c r="A8" s="82">
        <v>2</v>
      </c>
      <c r="B8" s="92" t="s">
        <v>17</v>
      </c>
      <c r="C8" s="79"/>
      <c r="D8" s="99"/>
      <c r="E8" s="79"/>
      <c r="F8" s="79">
        <v>50000000</v>
      </c>
      <c r="G8" s="100" t="s">
        <v>123</v>
      </c>
      <c r="H8" s="92" t="s">
        <v>116</v>
      </c>
      <c r="I8" s="101"/>
      <c r="J8" s="102" t="s">
        <v>14</v>
      </c>
      <c r="K8" s="98">
        <f>+(30.5+80.08+2.1+1.2+2.4+1.5)*10^6</f>
        <v>117780000</v>
      </c>
    </row>
    <row r="9" spans="1:12" s="98" customFormat="1" ht="47.25" customHeight="1" x14ac:dyDescent="0.45">
      <c r="A9" s="79">
        <v>3</v>
      </c>
      <c r="B9" s="94" t="s">
        <v>16</v>
      </c>
      <c r="C9" s="79"/>
      <c r="D9" s="91"/>
      <c r="E9" s="79"/>
      <c r="F9" s="79">
        <v>0</v>
      </c>
      <c r="G9" s="79"/>
      <c r="H9" s="92" t="s">
        <v>15</v>
      </c>
      <c r="I9" s="101"/>
      <c r="J9" s="97"/>
      <c r="K9" s="98" t="e">
        <f>+K8+#REF!</f>
        <v>#REF!</v>
      </c>
    </row>
    <row r="10" spans="1:12" s="98" customFormat="1" ht="25.5" customHeight="1" x14ac:dyDescent="0.45">
      <c r="A10" s="82">
        <v>4</v>
      </c>
      <c r="B10" s="92" t="s">
        <v>87</v>
      </c>
      <c r="C10" s="79"/>
      <c r="D10" s="91"/>
      <c r="E10" s="79"/>
      <c r="F10" s="79">
        <v>20000000</v>
      </c>
      <c r="G10" s="79"/>
      <c r="H10" s="94" t="s">
        <v>108</v>
      </c>
      <c r="I10" s="96"/>
      <c r="J10" s="97"/>
    </row>
    <row r="11" spans="1:12" s="98" customFormat="1" ht="65.650000000000006" customHeight="1" x14ac:dyDescent="0.45">
      <c r="A11" s="82">
        <v>5</v>
      </c>
      <c r="B11" s="92" t="s">
        <v>157</v>
      </c>
      <c r="C11" s="79"/>
      <c r="D11" s="91"/>
      <c r="E11" s="79"/>
      <c r="F11" s="79">
        <f>3000000000*4%</f>
        <v>120000000</v>
      </c>
      <c r="G11" s="79"/>
      <c r="H11" s="92" t="s">
        <v>111</v>
      </c>
      <c r="I11" s="96"/>
      <c r="J11" s="97"/>
    </row>
    <row r="12" spans="1:12" s="98" customFormat="1" ht="61.5" customHeight="1" x14ac:dyDescent="0.45">
      <c r="A12" s="82">
        <v>6</v>
      </c>
      <c r="B12" s="92" t="s">
        <v>117</v>
      </c>
      <c r="C12" s="79" t="s">
        <v>118</v>
      </c>
      <c r="D12" s="91">
        <v>12</v>
      </c>
      <c r="E12" s="79">
        <f>+(80000000-1*7500000-2*6000000-8*5000000)</f>
        <v>20500000</v>
      </c>
      <c r="F12" s="79">
        <f>+D12*E12</f>
        <v>246000000</v>
      </c>
      <c r="G12" s="79"/>
      <c r="H12" s="92" t="s">
        <v>169</v>
      </c>
      <c r="I12" s="96"/>
      <c r="J12" s="97"/>
    </row>
    <row r="13" spans="1:12" s="98" customFormat="1" ht="61.5" customHeight="1" x14ac:dyDescent="0.45">
      <c r="A13" s="82">
        <v>7</v>
      </c>
      <c r="B13" s="92" t="s">
        <v>159</v>
      </c>
      <c r="C13" s="79"/>
      <c r="D13" s="91"/>
      <c r="E13" s="79"/>
      <c r="F13" s="79">
        <v>628161017</v>
      </c>
      <c r="G13" s="79"/>
      <c r="H13" s="92" t="s">
        <v>160</v>
      </c>
      <c r="I13" s="96"/>
      <c r="J13" s="97"/>
    </row>
    <row r="14" spans="1:12" s="38" customFormat="1" ht="27" customHeight="1" x14ac:dyDescent="0.45">
      <c r="A14" s="86" t="s">
        <v>53</v>
      </c>
      <c r="B14" s="103" t="s">
        <v>162</v>
      </c>
      <c r="C14" s="86"/>
      <c r="D14" s="87"/>
      <c r="E14" s="88"/>
      <c r="F14" s="105">
        <f>+SUM(F15:F26)</f>
        <v>1003150000</v>
      </c>
      <c r="G14" s="89"/>
      <c r="H14" s="93"/>
      <c r="I14" s="37"/>
      <c r="J14" s="39"/>
    </row>
    <row r="15" spans="1:12" s="38" customFormat="1" ht="27" customHeight="1" x14ac:dyDescent="0.45">
      <c r="A15" s="79">
        <v>1</v>
      </c>
      <c r="B15" s="92" t="str">
        <f>+'PL Chi tiết các công việc'!B3</f>
        <v>Tết Nguyên Đán 2026</v>
      </c>
      <c r="C15" s="79"/>
      <c r="D15" s="91"/>
      <c r="E15" s="79"/>
      <c r="F15" s="79">
        <f>+'PL Chi tiết các công việc'!G3</f>
        <v>125000000</v>
      </c>
      <c r="G15" s="89"/>
      <c r="H15" s="93" t="s">
        <v>129</v>
      </c>
      <c r="I15" s="37" t="s">
        <v>131</v>
      </c>
      <c r="J15" s="39"/>
      <c r="L15" s="128"/>
    </row>
    <row r="16" spans="1:12" s="38" customFormat="1" ht="27" customHeight="1" x14ac:dyDescent="0.45">
      <c r="A16" s="79">
        <v>2</v>
      </c>
      <c r="B16" s="94" t="str">
        <f>+'PL Chi tiết các công việc'!B12</f>
        <v>Tết thiếu nhi 1/6/2026</v>
      </c>
      <c r="C16" s="79"/>
      <c r="D16" s="91"/>
      <c r="E16" s="79"/>
      <c r="F16" s="79">
        <f>+'PL Chi tiết các công việc'!G12</f>
        <v>112000000</v>
      </c>
      <c r="G16" s="89"/>
      <c r="H16" s="93" t="s">
        <v>129</v>
      </c>
      <c r="I16" s="37" t="s">
        <v>132</v>
      </c>
      <c r="J16" s="39"/>
    </row>
    <row r="17" spans="1:12" s="38" customFormat="1" ht="27" customHeight="1" x14ac:dyDescent="0.45">
      <c r="A17" s="79">
        <v>3</v>
      </c>
      <c r="B17" s="94" t="str">
        <f>+'PL Chi tiết các công việc'!B16</f>
        <v>Trung thu - rằm tháng tám</v>
      </c>
      <c r="C17" s="79"/>
      <c r="D17" s="91"/>
      <c r="E17" s="79"/>
      <c r="F17" s="79">
        <f>+'PL Chi tiết các công việc'!G16</f>
        <v>92000000</v>
      </c>
      <c r="G17" s="89"/>
      <c r="H17" s="93" t="s">
        <v>129</v>
      </c>
      <c r="I17" s="37" t="s">
        <v>134</v>
      </c>
      <c r="J17" s="39"/>
    </row>
    <row r="18" spans="1:12" s="38" customFormat="1" ht="27" customHeight="1" x14ac:dyDescent="0.45">
      <c r="A18" s="79">
        <v>4</v>
      </c>
      <c r="B18" s="95" t="str">
        <f>+'PL Chi tiết các công việc'!B20</f>
        <v>Tết Dương lịch và Noel</v>
      </c>
      <c r="C18" s="86"/>
      <c r="D18" s="87"/>
      <c r="E18" s="88"/>
      <c r="F18" s="79">
        <f>+'PL Chi tiết các công việc'!G20</f>
        <v>122000000</v>
      </c>
      <c r="G18" s="89"/>
      <c r="H18" s="93" t="s">
        <v>129</v>
      </c>
      <c r="I18" s="37" t="s">
        <v>135</v>
      </c>
      <c r="J18" s="39"/>
    </row>
    <row r="19" spans="1:12" s="38" customFormat="1" ht="27" customHeight="1" x14ac:dyDescent="0.45">
      <c r="A19" s="79">
        <v>5</v>
      </c>
      <c r="B19" s="95" t="str">
        <f>+'PL Chi tiết các công việc'!B24</f>
        <v xml:space="preserve">Quỹ Tri ân </v>
      </c>
      <c r="C19" s="86"/>
      <c r="D19" s="87"/>
      <c r="E19" s="88"/>
      <c r="F19" s="79">
        <f>+'PL Chi tiết các công việc'!G24</f>
        <v>81000000</v>
      </c>
      <c r="G19" s="89"/>
      <c r="H19" s="93" t="s">
        <v>129</v>
      </c>
      <c r="I19" s="37" t="s">
        <v>136</v>
      </c>
      <c r="J19" s="39"/>
    </row>
    <row r="20" spans="1:12" s="38" customFormat="1" ht="27" customHeight="1" x14ac:dyDescent="0.45">
      <c r="A20" s="79">
        <v>6</v>
      </c>
      <c r="B20" s="95" t="str">
        <f>+'PL Chi tiết các công việc'!B34</f>
        <v>Hội nghị nhà chung cư thường niên 2026</v>
      </c>
      <c r="C20" s="86"/>
      <c r="D20" s="87"/>
      <c r="E20" s="88"/>
      <c r="F20" s="79">
        <f>+'PL Chi tiết các công việc'!G34</f>
        <v>90000000</v>
      </c>
      <c r="G20" s="89"/>
      <c r="H20" s="93" t="s">
        <v>129</v>
      </c>
      <c r="I20" s="37" t="s">
        <v>133</v>
      </c>
      <c r="J20" s="39"/>
    </row>
    <row r="21" spans="1:12" s="38" customFormat="1" ht="27" customHeight="1" x14ac:dyDescent="0.45">
      <c r="A21" s="79">
        <v>7</v>
      </c>
      <c r="B21" s="80" t="str">
        <f>+'PL Chi tiết các công việc'!B37</f>
        <v xml:space="preserve">Chi thù lao Ban kiểm soát </v>
      </c>
      <c r="C21" s="86"/>
      <c r="D21" s="87"/>
      <c r="E21" s="88"/>
      <c r="F21" s="79">
        <f>+'PL Chi tiết các công việc'!G37</f>
        <v>32400000</v>
      </c>
      <c r="G21" s="89" t="s">
        <v>54</v>
      </c>
      <c r="H21" s="93" t="s">
        <v>129</v>
      </c>
      <c r="I21" s="85" t="s">
        <v>137</v>
      </c>
      <c r="J21" s="39"/>
    </row>
    <row r="22" spans="1:12" s="38" customFormat="1" ht="111.75" customHeight="1" x14ac:dyDescent="0.45">
      <c r="A22" s="79">
        <v>8</v>
      </c>
      <c r="B22" s="80" t="s">
        <v>119</v>
      </c>
      <c r="C22" s="76" t="s">
        <v>122</v>
      </c>
      <c r="D22" s="76" t="s">
        <v>121</v>
      </c>
      <c r="E22" s="137" t="s">
        <v>155</v>
      </c>
      <c r="F22" s="82">
        <v>25000000</v>
      </c>
      <c r="G22" s="83" t="s">
        <v>123</v>
      </c>
      <c r="H22" s="84" t="s">
        <v>120</v>
      </c>
      <c r="I22" s="85" t="s">
        <v>136</v>
      </c>
      <c r="J22" s="39"/>
    </row>
    <row r="23" spans="1:12" s="38" customFormat="1" ht="67.5" customHeight="1" x14ac:dyDescent="0.45">
      <c r="A23" s="79">
        <v>9</v>
      </c>
      <c r="B23" s="80" t="s">
        <v>126</v>
      </c>
      <c r="C23" s="88" t="s">
        <v>127</v>
      </c>
      <c r="D23" s="87"/>
      <c r="E23" s="88"/>
      <c r="F23" s="82">
        <v>13750000</v>
      </c>
      <c r="G23" s="89" t="s">
        <v>123</v>
      </c>
      <c r="H23" s="145" t="s">
        <v>167</v>
      </c>
      <c r="I23" s="85" t="s">
        <v>134</v>
      </c>
      <c r="J23" s="39"/>
    </row>
    <row r="24" spans="1:12" s="38" customFormat="1" ht="119.25" customHeight="1" x14ac:dyDescent="0.45">
      <c r="A24" s="79">
        <v>10</v>
      </c>
      <c r="B24" s="80" t="s">
        <v>166</v>
      </c>
      <c r="C24" s="88" t="s">
        <v>12</v>
      </c>
      <c r="D24" s="87">
        <v>11</v>
      </c>
      <c r="E24" s="81">
        <v>10000000</v>
      </c>
      <c r="F24" s="82">
        <f>E24*D24</f>
        <v>110000000</v>
      </c>
      <c r="G24" s="83" t="s">
        <v>54</v>
      </c>
      <c r="H24" s="146"/>
      <c r="I24" s="85" t="s">
        <v>137</v>
      </c>
      <c r="J24" s="39"/>
    </row>
    <row r="25" spans="1:12" s="38" customFormat="1" ht="128.65" customHeight="1" x14ac:dyDescent="0.45">
      <c r="A25" s="79">
        <v>11</v>
      </c>
      <c r="B25" s="80" t="s">
        <v>128</v>
      </c>
      <c r="C25" s="88" t="s">
        <v>12</v>
      </c>
      <c r="D25" s="87">
        <v>6</v>
      </c>
      <c r="E25" s="76" t="s">
        <v>130</v>
      </c>
      <c r="F25" s="82">
        <f>6*5*5000000</f>
        <v>150000000</v>
      </c>
      <c r="G25" s="83" t="s">
        <v>54</v>
      </c>
      <c r="H25" s="90" t="s">
        <v>165</v>
      </c>
      <c r="I25" s="85" t="s">
        <v>137</v>
      </c>
      <c r="J25" s="39"/>
    </row>
    <row r="26" spans="1:12" s="38" customFormat="1" ht="27.75" customHeight="1" x14ac:dyDescent="0.45">
      <c r="A26" s="79">
        <v>12</v>
      </c>
      <c r="B26" s="80" t="s">
        <v>112</v>
      </c>
      <c r="C26" s="88"/>
      <c r="D26" s="87"/>
      <c r="E26" s="88"/>
      <c r="F26" s="82">
        <v>50000000</v>
      </c>
      <c r="G26" s="89"/>
      <c r="H26" s="90"/>
      <c r="I26" s="85"/>
      <c r="J26" s="39"/>
    </row>
    <row r="27" spans="1:12" s="38" customFormat="1" ht="27.75" customHeight="1" x14ac:dyDescent="0.45">
      <c r="A27" s="86" t="s">
        <v>72</v>
      </c>
      <c r="B27" s="103" t="s">
        <v>163</v>
      </c>
      <c r="C27" s="86"/>
      <c r="D27" s="144" t="s">
        <v>164</v>
      </c>
      <c r="E27" s="144"/>
      <c r="F27" s="105">
        <f>+F5+F6-F14</f>
        <v>4171896259</v>
      </c>
      <c r="G27" s="89"/>
      <c r="H27" s="93"/>
      <c r="I27" s="37"/>
      <c r="J27" s="39"/>
    </row>
    <row r="28" spans="1:12" s="140" customFormat="1" ht="51" customHeight="1" x14ac:dyDescent="0.45">
      <c r="A28" s="147" t="s">
        <v>168</v>
      </c>
      <c r="B28" s="147"/>
      <c r="C28" s="147"/>
      <c r="D28" s="147"/>
      <c r="E28" s="147"/>
      <c r="F28" s="147"/>
      <c r="G28" s="147"/>
      <c r="H28" s="147"/>
      <c r="I28" s="138"/>
      <c r="J28" s="139"/>
      <c r="L28" s="138"/>
    </row>
  </sheetData>
  <mergeCells count="5">
    <mergeCell ref="A1:H1"/>
    <mergeCell ref="A2:H2"/>
    <mergeCell ref="D27:E27"/>
    <mergeCell ref="H23:H24"/>
    <mergeCell ref="A28:H28"/>
  </mergeCells>
  <pageMargins left="0.94488188976377963" right="0.11811023622047245" top="0.15748031496062992"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zoomScale="135" workbookViewId="0">
      <selection activeCell="H15" sqref="H15"/>
    </sheetView>
  </sheetViews>
  <sheetFormatPr defaultColWidth="9" defaultRowHeight="13.9" x14ac:dyDescent="0.45"/>
  <cols>
    <col min="1" max="1" width="5.375" style="1" customWidth="1"/>
    <col min="2" max="2" width="44.625" style="1" customWidth="1"/>
    <col min="3" max="3" width="18.375" style="16" customWidth="1"/>
    <col min="4" max="4" width="17.125" style="1" customWidth="1"/>
    <col min="5" max="5" width="12.125" style="1" customWidth="1"/>
    <col min="6" max="6" width="12.375" style="1" customWidth="1"/>
    <col min="7" max="7" width="18.625" style="1" customWidth="1"/>
    <col min="8" max="8" width="32.625" style="1" customWidth="1"/>
    <col min="9" max="9" width="11.375" style="16" customWidth="1"/>
    <col min="10" max="12" width="9" style="1"/>
    <col min="13" max="13" width="10.125" style="1" bestFit="1" customWidth="1"/>
    <col min="14" max="16384" width="9" style="1"/>
  </cols>
  <sheetData>
    <row r="1" spans="1:19" ht="42" customHeight="1" x14ac:dyDescent="0.45">
      <c r="A1" s="148" t="s">
        <v>66</v>
      </c>
      <c r="B1" s="148"/>
      <c r="C1" s="148"/>
      <c r="D1" s="148"/>
      <c r="E1" s="148"/>
      <c r="F1" s="148"/>
      <c r="G1" s="148"/>
      <c r="H1" s="148"/>
      <c r="I1" s="148"/>
    </row>
    <row r="2" spans="1:19" s="11" customFormat="1" ht="34.5" customHeight="1" x14ac:dyDescent="0.45">
      <c r="A2" s="109" t="s">
        <v>20</v>
      </c>
      <c r="B2" s="109" t="s">
        <v>21</v>
      </c>
      <c r="C2" s="109" t="s">
        <v>56</v>
      </c>
      <c r="D2" s="109" t="s">
        <v>22</v>
      </c>
      <c r="E2" s="109" t="s">
        <v>23</v>
      </c>
      <c r="F2" s="109" t="s">
        <v>24</v>
      </c>
      <c r="G2" s="109" t="s">
        <v>25</v>
      </c>
      <c r="H2" s="109" t="s">
        <v>26</v>
      </c>
      <c r="I2" s="110"/>
      <c r="M2" s="17"/>
      <c r="N2" s="17"/>
      <c r="O2" s="17"/>
      <c r="P2" s="17"/>
      <c r="Q2" s="17"/>
      <c r="R2" s="17"/>
      <c r="S2" s="17"/>
    </row>
    <row r="3" spans="1:19" s="3" customFormat="1" x14ac:dyDescent="0.45">
      <c r="A3" s="111" t="s">
        <v>29</v>
      </c>
      <c r="B3" s="112" t="s">
        <v>114</v>
      </c>
      <c r="C3" s="111" t="s">
        <v>46</v>
      </c>
      <c r="D3" s="109"/>
      <c r="E3" s="109"/>
      <c r="F3" s="109"/>
      <c r="G3" s="113">
        <f>SUM(G4:G11)</f>
        <v>125000000</v>
      </c>
      <c r="H3" s="111"/>
      <c r="I3" s="114"/>
      <c r="M3" s="1"/>
      <c r="N3" s="1"/>
      <c r="O3" s="1"/>
      <c r="P3" s="1"/>
      <c r="Q3" s="1"/>
      <c r="R3" s="1"/>
      <c r="S3" s="1"/>
    </row>
    <row r="4" spans="1:19" s="4" customFormat="1" x14ac:dyDescent="0.45">
      <c r="A4" s="115">
        <v>1</v>
      </c>
      <c r="B4" s="131" t="s">
        <v>33</v>
      </c>
      <c r="C4" s="115"/>
      <c r="D4" s="116" t="s">
        <v>30</v>
      </c>
      <c r="E4" s="117">
        <v>5</v>
      </c>
      <c r="F4" s="107">
        <v>10000000</v>
      </c>
      <c r="G4" s="107">
        <f>+F4*E4</f>
        <v>50000000</v>
      </c>
      <c r="H4" s="118"/>
      <c r="I4" s="119"/>
      <c r="L4" s="5"/>
      <c r="M4" s="1"/>
      <c r="N4" s="1"/>
      <c r="O4" s="1"/>
      <c r="P4" s="1"/>
      <c r="Q4" s="1"/>
      <c r="R4" s="1"/>
      <c r="S4" s="1"/>
    </row>
    <row r="5" spans="1:19" s="4" customFormat="1" x14ac:dyDescent="0.45">
      <c r="A5" s="115">
        <v>2</v>
      </c>
      <c r="B5" s="132" t="s">
        <v>31</v>
      </c>
      <c r="C5" s="116"/>
      <c r="D5" s="115" t="s">
        <v>32</v>
      </c>
      <c r="E5" s="115">
        <v>1</v>
      </c>
      <c r="F5" s="107">
        <v>15000000</v>
      </c>
      <c r="G5" s="107">
        <f t="shared" ref="G5:G6" si="0">+F5*E5</f>
        <v>15000000</v>
      </c>
      <c r="H5" s="118"/>
      <c r="I5" s="119"/>
      <c r="L5" s="6"/>
      <c r="M5" s="1"/>
      <c r="N5" s="1"/>
      <c r="O5" s="1"/>
      <c r="P5" s="1"/>
      <c r="Q5" s="1"/>
      <c r="R5" s="1"/>
      <c r="S5" s="1"/>
    </row>
    <row r="6" spans="1:19" s="4" customFormat="1" x14ac:dyDescent="0.45">
      <c r="A6" s="115">
        <v>3</v>
      </c>
      <c r="B6" s="132" t="s">
        <v>34</v>
      </c>
      <c r="C6" s="116"/>
      <c r="D6" s="115" t="s">
        <v>35</v>
      </c>
      <c r="E6" s="115">
        <v>1</v>
      </c>
      <c r="F6" s="107">
        <v>30000000</v>
      </c>
      <c r="G6" s="107">
        <f t="shared" si="0"/>
        <v>30000000</v>
      </c>
      <c r="H6" s="118"/>
      <c r="I6" s="119"/>
      <c r="L6" s="29"/>
      <c r="M6" s="1"/>
      <c r="N6" s="1"/>
      <c r="O6" s="1"/>
      <c r="P6" s="1"/>
      <c r="Q6" s="1"/>
      <c r="R6" s="1"/>
      <c r="S6" s="1"/>
    </row>
    <row r="7" spans="1:19" s="4" customFormat="1" x14ac:dyDescent="0.45">
      <c r="A7" s="115">
        <v>4</v>
      </c>
      <c r="B7" s="132" t="s">
        <v>143</v>
      </c>
      <c r="C7" s="116"/>
      <c r="D7" s="116"/>
      <c r="E7" s="117"/>
      <c r="F7" s="107"/>
      <c r="G7" s="107">
        <f>+F7*E7</f>
        <v>0</v>
      </c>
      <c r="H7" s="118"/>
      <c r="I7" s="119"/>
      <c r="L7" s="29"/>
      <c r="M7" s="1"/>
      <c r="N7" s="1"/>
      <c r="O7" s="1"/>
      <c r="P7" s="1"/>
      <c r="Q7" s="1"/>
      <c r="R7" s="1"/>
      <c r="S7" s="1"/>
    </row>
    <row r="8" spans="1:19" s="4" customFormat="1" x14ac:dyDescent="0.45">
      <c r="A8" s="129" t="s">
        <v>138</v>
      </c>
      <c r="B8" s="132" t="s">
        <v>140</v>
      </c>
      <c r="C8" s="116"/>
      <c r="D8" s="116" t="s">
        <v>149</v>
      </c>
      <c r="E8" s="117">
        <v>1</v>
      </c>
      <c r="F8" s="107">
        <v>5000000</v>
      </c>
      <c r="G8" s="107">
        <f>+F8*E8</f>
        <v>5000000</v>
      </c>
      <c r="H8" s="117" t="s">
        <v>148</v>
      </c>
      <c r="I8" s="119"/>
      <c r="L8" s="29"/>
      <c r="M8" s="1"/>
      <c r="N8" s="1"/>
      <c r="O8" s="1"/>
      <c r="P8" s="1"/>
      <c r="Q8" s="1"/>
      <c r="R8" s="1"/>
      <c r="S8" s="1"/>
    </row>
    <row r="9" spans="1:19" s="4" customFormat="1" x14ac:dyDescent="0.45">
      <c r="A9" s="129" t="s">
        <v>138</v>
      </c>
      <c r="B9" s="132" t="s">
        <v>141</v>
      </c>
      <c r="C9" s="116"/>
      <c r="D9" s="116" t="s">
        <v>149</v>
      </c>
      <c r="E9" s="117">
        <v>1</v>
      </c>
      <c r="F9" s="107">
        <v>10000000</v>
      </c>
      <c r="G9" s="107">
        <f>+F9*E9</f>
        <v>10000000</v>
      </c>
      <c r="H9" s="117" t="s">
        <v>146</v>
      </c>
      <c r="I9" s="119"/>
      <c r="L9" s="29"/>
      <c r="M9" s="1"/>
      <c r="N9" s="1"/>
      <c r="O9" s="1"/>
      <c r="P9" s="1"/>
      <c r="Q9" s="1"/>
      <c r="R9" s="1"/>
      <c r="S9" s="1"/>
    </row>
    <row r="10" spans="1:19" s="4" customFormat="1" x14ac:dyDescent="0.45">
      <c r="A10" s="129" t="s">
        <v>138</v>
      </c>
      <c r="B10" s="132" t="s">
        <v>142</v>
      </c>
      <c r="C10" s="116"/>
      <c r="D10" s="116" t="s">
        <v>149</v>
      </c>
      <c r="E10" s="117">
        <v>1</v>
      </c>
      <c r="F10" s="107">
        <v>10000000</v>
      </c>
      <c r="G10" s="107">
        <f>+F10*E10</f>
        <v>10000000</v>
      </c>
      <c r="H10" s="117" t="s">
        <v>145</v>
      </c>
      <c r="I10" s="119"/>
      <c r="L10" s="29"/>
      <c r="M10" s="1"/>
      <c r="N10" s="1"/>
      <c r="O10" s="1"/>
      <c r="P10" s="1"/>
      <c r="Q10" s="1"/>
      <c r="R10" s="1"/>
      <c r="S10" s="1"/>
    </row>
    <row r="11" spans="1:19" s="4" customFormat="1" x14ac:dyDescent="0.45">
      <c r="A11" s="129" t="s">
        <v>138</v>
      </c>
      <c r="B11" s="132" t="s">
        <v>144</v>
      </c>
      <c r="C11" s="116"/>
      <c r="D11" s="116" t="s">
        <v>149</v>
      </c>
      <c r="E11" s="117">
        <v>1</v>
      </c>
      <c r="F11" s="107">
        <v>5000000</v>
      </c>
      <c r="G11" s="107">
        <f>+F11*E11</f>
        <v>5000000</v>
      </c>
      <c r="H11" s="117" t="s">
        <v>147</v>
      </c>
      <c r="I11" s="119"/>
      <c r="L11" s="29"/>
      <c r="M11" s="1"/>
      <c r="N11" s="1"/>
      <c r="O11" s="1"/>
      <c r="P11" s="1"/>
      <c r="Q11" s="1"/>
      <c r="R11" s="1"/>
      <c r="S11" s="1"/>
    </row>
    <row r="12" spans="1:19" s="4" customFormat="1" x14ac:dyDescent="0.45">
      <c r="A12" s="111" t="s">
        <v>36</v>
      </c>
      <c r="B12" s="112" t="s">
        <v>113</v>
      </c>
      <c r="C12" s="120" t="s">
        <v>47</v>
      </c>
      <c r="D12" s="115"/>
      <c r="E12" s="115"/>
      <c r="F12" s="107"/>
      <c r="G12" s="108">
        <f>SUM(G13:G15)</f>
        <v>112000000</v>
      </c>
      <c r="H12" s="118"/>
      <c r="I12" s="119"/>
      <c r="L12" s="29"/>
      <c r="M12" s="1"/>
      <c r="N12" s="1"/>
      <c r="O12" s="1"/>
      <c r="P12" s="1"/>
      <c r="Q12" s="1"/>
      <c r="R12" s="1"/>
      <c r="S12" s="1"/>
    </row>
    <row r="13" spans="1:19" s="14" customFormat="1" ht="105" customHeight="1" x14ac:dyDescent="0.45">
      <c r="A13" s="117">
        <v>1</v>
      </c>
      <c r="B13" s="123" t="s">
        <v>125</v>
      </c>
      <c r="C13" s="124"/>
      <c r="D13" s="149" t="s">
        <v>37</v>
      </c>
      <c r="E13" s="150"/>
      <c r="F13" s="151"/>
      <c r="G13" s="125">
        <v>20000000</v>
      </c>
      <c r="H13" s="123" t="s">
        <v>139</v>
      </c>
      <c r="I13" s="126"/>
      <c r="L13" s="127"/>
      <c r="M13" s="17"/>
      <c r="N13" s="17"/>
      <c r="O13" s="17"/>
      <c r="P13" s="17"/>
      <c r="Q13" s="17"/>
      <c r="R13" s="17"/>
      <c r="S13" s="17"/>
    </row>
    <row r="14" spans="1:19" s="14" customFormat="1" ht="18.75" customHeight="1" x14ac:dyDescent="0.45">
      <c r="A14" s="117">
        <v>2</v>
      </c>
      <c r="B14" s="123" t="s">
        <v>81</v>
      </c>
      <c r="C14" s="130"/>
      <c r="D14" s="130" t="s">
        <v>82</v>
      </c>
      <c r="E14" s="117">
        <v>10</v>
      </c>
      <c r="F14" s="125">
        <v>700000</v>
      </c>
      <c r="G14" s="125">
        <f>+F14*E14</f>
        <v>7000000</v>
      </c>
      <c r="H14" s="135" t="s">
        <v>151</v>
      </c>
      <c r="I14" s="126"/>
      <c r="L14" s="127"/>
      <c r="M14" s="17"/>
      <c r="N14" s="17"/>
      <c r="O14" s="17"/>
      <c r="P14" s="17"/>
      <c r="Q14" s="17"/>
      <c r="R14" s="17"/>
      <c r="S14" s="17"/>
    </row>
    <row r="15" spans="1:19" s="4" customFormat="1" ht="27.75" x14ac:dyDescent="0.45">
      <c r="A15" s="117">
        <v>3</v>
      </c>
      <c r="B15" s="123" t="s">
        <v>150</v>
      </c>
      <c r="C15" s="130"/>
      <c r="D15" s="117" t="s">
        <v>35</v>
      </c>
      <c r="E15" s="117">
        <v>1</v>
      </c>
      <c r="F15" s="125">
        <v>35000000</v>
      </c>
      <c r="G15" s="125">
        <v>85000000</v>
      </c>
      <c r="H15" s="136" t="s">
        <v>152</v>
      </c>
      <c r="I15" s="119"/>
      <c r="L15" s="29"/>
      <c r="M15" s="1"/>
      <c r="N15" s="1"/>
      <c r="O15" s="1"/>
      <c r="P15" s="1"/>
      <c r="Q15" s="1"/>
      <c r="R15" s="1"/>
      <c r="S15" s="1"/>
    </row>
    <row r="16" spans="1:19" s="4" customFormat="1" x14ac:dyDescent="0.45">
      <c r="A16" s="121" t="s">
        <v>38</v>
      </c>
      <c r="B16" s="133" t="s">
        <v>39</v>
      </c>
      <c r="C16" s="111" t="s">
        <v>45</v>
      </c>
      <c r="D16" s="115"/>
      <c r="E16" s="115"/>
      <c r="F16" s="107"/>
      <c r="G16" s="108">
        <f>SUM(G17:G19)</f>
        <v>92000000</v>
      </c>
      <c r="H16" s="134"/>
      <c r="I16" s="119"/>
      <c r="L16" s="29"/>
      <c r="M16" s="1"/>
      <c r="N16" s="1"/>
      <c r="O16" s="1"/>
      <c r="P16" s="1"/>
      <c r="Q16" s="1"/>
      <c r="R16" s="1"/>
      <c r="S16" s="1"/>
    </row>
    <row r="17" spans="1:19" s="4" customFormat="1" x14ac:dyDescent="0.45">
      <c r="A17" s="115">
        <v>1</v>
      </c>
      <c r="B17" s="132" t="s">
        <v>109</v>
      </c>
      <c r="C17" s="116"/>
      <c r="D17" s="116" t="s">
        <v>30</v>
      </c>
      <c r="E17" s="117">
        <v>5</v>
      </c>
      <c r="F17" s="107">
        <v>10000000</v>
      </c>
      <c r="G17" s="107">
        <v>30000000</v>
      </c>
      <c r="H17" s="152" t="s">
        <v>152</v>
      </c>
      <c r="I17" s="119"/>
      <c r="L17" s="29"/>
      <c r="M17" s="1"/>
      <c r="N17" s="1"/>
      <c r="O17" s="1"/>
      <c r="P17" s="1"/>
      <c r="Q17" s="1"/>
      <c r="R17" s="1"/>
      <c r="S17" s="1"/>
    </row>
    <row r="18" spans="1:19" s="4" customFormat="1" x14ac:dyDescent="0.45">
      <c r="A18" s="115">
        <v>2</v>
      </c>
      <c r="B18" s="132" t="s">
        <v>81</v>
      </c>
      <c r="C18" s="116"/>
      <c r="D18" s="116" t="s">
        <v>82</v>
      </c>
      <c r="E18" s="115">
        <v>10</v>
      </c>
      <c r="F18" s="107">
        <v>700000</v>
      </c>
      <c r="G18" s="107">
        <f>+F18*E18</f>
        <v>7000000</v>
      </c>
      <c r="H18" s="153"/>
      <c r="I18" s="119"/>
      <c r="L18" s="29"/>
      <c r="M18" s="1"/>
      <c r="N18" s="1"/>
      <c r="O18" s="1"/>
      <c r="P18" s="1"/>
      <c r="Q18" s="1"/>
      <c r="R18" s="1"/>
      <c r="S18" s="1"/>
    </row>
    <row r="19" spans="1:19" s="4" customFormat="1" x14ac:dyDescent="0.45">
      <c r="A19" s="115">
        <v>3</v>
      </c>
      <c r="B19" s="132" t="s">
        <v>34</v>
      </c>
      <c r="C19" s="116"/>
      <c r="D19" s="115" t="s">
        <v>35</v>
      </c>
      <c r="E19" s="115">
        <v>1</v>
      </c>
      <c r="F19" s="107">
        <v>55000000</v>
      </c>
      <c r="G19" s="107">
        <v>55000000</v>
      </c>
      <c r="H19" s="154"/>
      <c r="I19" s="119"/>
      <c r="L19" s="29"/>
      <c r="M19" s="1"/>
      <c r="N19" s="1"/>
      <c r="O19" s="1"/>
      <c r="P19" s="1"/>
      <c r="Q19" s="1"/>
      <c r="R19" s="1"/>
      <c r="S19" s="1"/>
    </row>
    <row r="20" spans="1:19" s="4" customFormat="1" x14ac:dyDescent="0.45">
      <c r="A20" s="121" t="s">
        <v>40</v>
      </c>
      <c r="B20" s="133" t="s">
        <v>42</v>
      </c>
      <c r="C20" s="120" t="s">
        <v>110</v>
      </c>
      <c r="D20" s="115"/>
      <c r="E20" s="115"/>
      <c r="F20" s="107"/>
      <c r="G20" s="108">
        <f>SUM(G21:G23)</f>
        <v>122000000</v>
      </c>
      <c r="H20" s="118"/>
      <c r="I20" s="119"/>
      <c r="L20" s="29"/>
      <c r="M20" s="1"/>
      <c r="N20" s="1"/>
      <c r="O20" s="1"/>
      <c r="P20" s="1"/>
      <c r="Q20" s="1"/>
      <c r="R20" s="1"/>
      <c r="S20" s="1"/>
    </row>
    <row r="21" spans="1:19" s="4" customFormat="1" x14ac:dyDescent="0.45">
      <c r="A21" s="115">
        <v>1</v>
      </c>
      <c r="B21" s="132" t="s">
        <v>43</v>
      </c>
      <c r="C21" s="116"/>
      <c r="D21" s="115" t="s">
        <v>44</v>
      </c>
      <c r="E21" s="115">
        <v>1</v>
      </c>
      <c r="F21" s="107">
        <v>80000000</v>
      </c>
      <c r="G21" s="107">
        <f t="shared" ref="G21:G36" si="1">+F21*E21</f>
        <v>80000000</v>
      </c>
      <c r="H21" s="118"/>
      <c r="I21" s="119"/>
      <c r="L21" s="29"/>
      <c r="M21" s="1"/>
      <c r="N21" s="1"/>
      <c r="O21" s="1"/>
      <c r="P21" s="1"/>
      <c r="Q21" s="1"/>
      <c r="R21" s="1"/>
      <c r="S21" s="1"/>
    </row>
    <row r="22" spans="1:19" s="4" customFormat="1" x14ac:dyDescent="0.45">
      <c r="A22" s="115">
        <v>2</v>
      </c>
      <c r="B22" s="132" t="s">
        <v>34</v>
      </c>
      <c r="C22" s="116"/>
      <c r="D22" s="115"/>
      <c r="E22" s="115">
        <v>1</v>
      </c>
      <c r="F22" s="107">
        <v>35000000</v>
      </c>
      <c r="G22" s="107">
        <f t="shared" si="1"/>
        <v>35000000</v>
      </c>
      <c r="H22" s="118"/>
      <c r="I22" s="119"/>
      <c r="L22" s="29"/>
      <c r="M22" s="1"/>
      <c r="N22" s="1"/>
      <c r="O22" s="1"/>
      <c r="P22" s="1"/>
      <c r="Q22" s="1"/>
      <c r="R22" s="1"/>
      <c r="S22" s="1"/>
    </row>
    <row r="23" spans="1:19" s="4" customFormat="1" x14ac:dyDescent="0.45">
      <c r="A23" s="115">
        <v>3</v>
      </c>
      <c r="B23" s="132" t="s">
        <v>81</v>
      </c>
      <c r="C23" s="116"/>
      <c r="D23" s="116" t="s">
        <v>82</v>
      </c>
      <c r="E23" s="115">
        <v>10</v>
      </c>
      <c r="F23" s="107">
        <v>700000</v>
      </c>
      <c r="G23" s="107">
        <f>+F23*E23</f>
        <v>7000000</v>
      </c>
      <c r="H23" s="118"/>
      <c r="I23" s="119"/>
      <c r="L23" s="29"/>
      <c r="M23" s="1"/>
      <c r="N23" s="1"/>
      <c r="O23" s="1"/>
      <c r="P23" s="1"/>
      <c r="Q23" s="1"/>
      <c r="R23" s="1"/>
      <c r="S23" s="1"/>
    </row>
    <row r="24" spans="1:19" s="4" customFormat="1" x14ac:dyDescent="0.45">
      <c r="A24" s="121" t="s">
        <v>41</v>
      </c>
      <c r="B24" s="133" t="s">
        <v>64</v>
      </c>
      <c r="C24" s="111"/>
      <c r="D24" s="115"/>
      <c r="E24" s="115"/>
      <c r="F24" s="107"/>
      <c r="G24" s="108">
        <f>+SUM(G25:G33)</f>
        <v>81000000</v>
      </c>
      <c r="H24" s="118"/>
      <c r="I24" s="119"/>
      <c r="L24" s="29"/>
      <c r="M24" s="1"/>
      <c r="N24" s="1"/>
      <c r="O24" s="1"/>
      <c r="P24" s="1"/>
      <c r="Q24" s="1"/>
      <c r="R24" s="1"/>
      <c r="S24" s="1"/>
    </row>
    <row r="25" spans="1:19" s="4" customFormat="1" x14ac:dyDescent="0.45">
      <c r="A25" s="115">
        <v>1</v>
      </c>
      <c r="B25" s="132" t="s">
        <v>83</v>
      </c>
      <c r="C25" s="116" t="s">
        <v>84</v>
      </c>
      <c r="D25" s="115" t="s">
        <v>35</v>
      </c>
      <c r="E25" s="115">
        <v>1</v>
      </c>
      <c r="F25" s="107">
        <v>5000000</v>
      </c>
      <c r="G25" s="107">
        <f t="shared" si="1"/>
        <v>5000000</v>
      </c>
      <c r="H25" s="118"/>
      <c r="I25" s="119"/>
      <c r="L25" s="29"/>
      <c r="M25" s="1"/>
      <c r="N25" s="1"/>
      <c r="O25" s="1"/>
      <c r="P25" s="1"/>
      <c r="Q25" s="1"/>
      <c r="R25" s="1"/>
      <c r="S25" s="1"/>
    </row>
    <row r="26" spans="1:19" s="4" customFormat="1" x14ac:dyDescent="0.45">
      <c r="A26" s="115">
        <v>2</v>
      </c>
      <c r="B26" s="132" t="s">
        <v>48</v>
      </c>
      <c r="C26" s="116" t="s">
        <v>49</v>
      </c>
      <c r="D26" s="115" t="s">
        <v>35</v>
      </c>
      <c r="E26" s="115">
        <v>1</v>
      </c>
      <c r="F26" s="107">
        <v>5000000</v>
      </c>
      <c r="G26" s="107">
        <f t="shared" si="1"/>
        <v>5000000</v>
      </c>
      <c r="H26" s="118"/>
      <c r="I26" s="119"/>
      <c r="L26" s="29"/>
      <c r="M26" s="1"/>
      <c r="N26" s="1"/>
      <c r="O26" s="1"/>
      <c r="P26" s="1"/>
      <c r="Q26" s="1"/>
      <c r="R26" s="1"/>
      <c r="S26" s="1"/>
    </row>
    <row r="27" spans="1:19" s="4" customFormat="1" x14ac:dyDescent="0.45">
      <c r="A27" s="115">
        <v>3</v>
      </c>
      <c r="B27" s="132" t="s">
        <v>50</v>
      </c>
      <c r="C27" s="116" t="s">
        <v>51</v>
      </c>
      <c r="D27" s="115" t="s">
        <v>35</v>
      </c>
      <c r="E27" s="115">
        <v>2</v>
      </c>
      <c r="F27" s="107">
        <v>2000000</v>
      </c>
      <c r="G27" s="107">
        <f t="shared" si="1"/>
        <v>4000000</v>
      </c>
      <c r="H27" s="118"/>
      <c r="I27" s="119"/>
      <c r="L27" s="29"/>
      <c r="M27" s="1"/>
      <c r="N27" s="1"/>
      <c r="O27" s="1"/>
      <c r="P27" s="1"/>
      <c r="Q27" s="1"/>
      <c r="R27" s="1"/>
      <c r="S27" s="1"/>
    </row>
    <row r="28" spans="1:19" s="4" customFormat="1" x14ac:dyDescent="0.45">
      <c r="A28" s="115">
        <v>4</v>
      </c>
      <c r="B28" s="132" t="s">
        <v>85</v>
      </c>
      <c r="C28" s="116" t="s">
        <v>86</v>
      </c>
      <c r="D28" s="115" t="s">
        <v>35</v>
      </c>
      <c r="E28" s="115">
        <v>1</v>
      </c>
      <c r="F28" s="107">
        <v>2000000</v>
      </c>
      <c r="G28" s="107">
        <f t="shared" ref="G28:G32" si="2">+F28*E28</f>
        <v>2000000</v>
      </c>
      <c r="H28" s="118"/>
      <c r="I28" s="119"/>
      <c r="L28" s="29"/>
      <c r="M28" s="1"/>
      <c r="N28" s="1"/>
      <c r="O28" s="1"/>
      <c r="P28" s="1"/>
      <c r="Q28" s="1"/>
      <c r="R28" s="1"/>
      <c r="S28" s="1"/>
    </row>
    <row r="29" spans="1:19" s="4" customFormat="1" ht="27.75" x14ac:dyDescent="0.45">
      <c r="A29" s="115">
        <v>5</v>
      </c>
      <c r="B29" s="132" t="s">
        <v>153</v>
      </c>
      <c r="C29" s="116"/>
      <c r="D29" s="115"/>
      <c r="E29" s="115"/>
      <c r="F29" s="107"/>
      <c r="G29" s="107"/>
      <c r="H29" s="118"/>
      <c r="I29" s="119"/>
      <c r="L29" s="29"/>
      <c r="M29" s="1"/>
      <c r="N29" s="1"/>
      <c r="O29" s="1"/>
      <c r="P29" s="1"/>
      <c r="Q29" s="1"/>
      <c r="R29" s="1"/>
      <c r="S29" s="1"/>
    </row>
    <row r="30" spans="1:19" s="4" customFormat="1" x14ac:dyDescent="0.45">
      <c r="A30" s="115" t="s">
        <v>138</v>
      </c>
      <c r="B30" s="132" t="s">
        <v>140</v>
      </c>
      <c r="C30" s="116"/>
      <c r="D30" s="115" t="s">
        <v>35</v>
      </c>
      <c r="E30" s="115">
        <v>2</v>
      </c>
      <c r="F30" s="107">
        <v>10000000</v>
      </c>
      <c r="G30" s="107">
        <f t="shared" si="2"/>
        <v>20000000</v>
      </c>
      <c r="H30" s="152" t="s">
        <v>154</v>
      </c>
      <c r="I30" s="119"/>
      <c r="L30" s="29"/>
      <c r="M30" s="1"/>
      <c r="N30" s="1"/>
      <c r="O30" s="1"/>
      <c r="P30" s="1"/>
      <c r="Q30" s="1"/>
      <c r="R30" s="1"/>
      <c r="S30" s="1"/>
    </row>
    <row r="31" spans="1:19" s="4" customFormat="1" x14ac:dyDescent="0.45">
      <c r="A31" s="115" t="s">
        <v>138</v>
      </c>
      <c r="B31" s="132" t="s">
        <v>141</v>
      </c>
      <c r="C31" s="116"/>
      <c r="D31" s="115" t="s">
        <v>35</v>
      </c>
      <c r="E31" s="115">
        <v>2</v>
      </c>
      <c r="F31" s="107">
        <v>10000000</v>
      </c>
      <c r="G31" s="107">
        <f t="shared" si="2"/>
        <v>20000000</v>
      </c>
      <c r="H31" s="153"/>
      <c r="I31" s="119"/>
      <c r="L31" s="29"/>
      <c r="M31" s="1"/>
      <c r="N31" s="1"/>
      <c r="O31" s="1"/>
      <c r="P31" s="1"/>
      <c r="Q31" s="1"/>
      <c r="R31" s="1"/>
      <c r="S31" s="1"/>
    </row>
    <row r="32" spans="1:19" s="4" customFormat="1" x14ac:dyDescent="0.45">
      <c r="A32" s="115" t="s">
        <v>138</v>
      </c>
      <c r="B32" s="132" t="s">
        <v>142</v>
      </c>
      <c r="C32" s="116"/>
      <c r="D32" s="115" t="s">
        <v>35</v>
      </c>
      <c r="E32" s="115">
        <v>2</v>
      </c>
      <c r="F32" s="107">
        <v>10000000</v>
      </c>
      <c r="G32" s="107">
        <f t="shared" si="2"/>
        <v>20000000</v>
      </c>
      <c r="H32" s="154"/>
      <c r="I32" s="119"/>
      <c r="L32" s="29"/>
      <c r="M32" s="1"/>
      <c r="N32" s="1"/>
      <c r="O32" s="1"/>
      <c r="P32" s="1"/>
      <c r="Q32" s="1"/>
      <c r="R32" s="1"/>
      <c r="S32" s="1"/>
    </row>
    <row r="33" spans="1:19" s="4" customFormat="1" x14ac:dyDescent="0.45">
      <c r="A33" s="115">
        <v>6</v>
      </c>
      <c r="B33" s="132" t="s">
        <v>52</v>
      </c>
      <c r="C33" s="116"/>
      <c r="D33" s="115"/>
      <c r="E33" s="115">
        <v>1</v>
      </c>
      <c r="F33" s="107">
        <v>5000000</v>
      </c>
      <c r="G33" s="107">
        <v>5000000</v>
      </c>
      <c r="H33" s="118"/>
      <c r="I33" s="119"/>
      <c r="L33" s="29"/>
      <c r="M33" s="1"/>
      <c r="N33" s="1"/>
      <c r="O33" s="1"/>
      <c r="P33" s="1"/>
      <c r="Q33" s="1"/>
      <c r="R33" s="1"/>
      <c r="S33" s="1"/>
    </row>
    <row r="34" spans="1:19" s="4" customFormat="1" x14ac:dyDescent="0.45">
      <c r="A34" s="121" t="s">
        <v>67</v>
      </c>
      <c r="B34" s="133" t="s">
        <v>124</v>
      </c>
      <c r="C34" s="116"/>
      <c r="D34" s="115"/>
      <c r="E34" s="115"/>
      <c r="F34" s="107"/>
      <c r="G34" s="108">
        <f>+G35+G36</f>
        <v>90000000</v>
      </c>
      <c r="H34" s="118"/>
      <c r="I34" s="119"/>
      <c r="L34" s="29"/>
      <c r="M34" s="1"/>
      <c r="N34" s="1"/>
      <c r="O34" s="1"/>
      <c r="P34" s="1"/>
      <c r="Q34" s="1"/>
      <c r="R34" s="1"/>
      <c r="S34" s="1"/>
    </row>
    <row r="35" spans="1:19" s="4" customFormat="1" x14ac:dyDescent="0.45">
      <c r="A35" s="115">
        <v>1</v>
      </c>
      <c r="B35" s="132" t="s">
        <v>68</v>
      </c>
      <c r="C35" s="116"/>
      <c r="D35" s="115"/>
      <c r="E35" s="115">
        <v>1</v>
      </c>
      <c r="F35" s="107">
        <v>70000000</v>
      </c>
      <c r="G35" s="107">
        <f t="shared" si="1"/>
        <v>70000000</v>
      </c>
      <c r="H35" s="118"/>
      <c r="I35" s="119"/>
      <c r="L35" s="29"/>
      <c r="M35" s="1"/>
      <c r="N35" s="1"/>
      <c r="O35" s="1"/>
      <c r="P35" s="1"/>
      <c r="Q35" s="1"/>
      <c r="R35" s="1"/>
      <c r="S35" s="1"/>
    </row>
    <row r="36" spans="1:19" s="4" customFormat="1" x14ac:dyDescent="0.45">
      <c r="A36" s="115">
        <v>2</v>
      </c>
      <c r="B36" s="132" t="s">
        <v>69</v>
      </c>
      <c r="C36" s="116"/>
      <c r="D36" s="115"/>
      <c r="E36" s="115">
        <v>1</v>
      </c>
      <c r="F36" s="107">
        <v>20000000</v>
      </c>
      <c r="G36" s="107">
        <f t="shared" si="1"/>
        <v>20000000</v>
      </c>
      <c r="H36" s="118"/>
      <c r="I36" s="119"/>
      <c r="L36" s="29"/>
      <c r="M36" s="1"/>
      <c r="N36" s="1"/>
      <c r="O36" s="1"/>
      <c r="P36" s="1"/>
      <c r="Q36" s="1"/>
      <c r="R36" s="1"/>
      <c r="S36" s="1"/>
    </row>
    <row r="37" spans="1:19" s="4" customFormat="1" ht="27.75" x14ac:dyDescent="0.45">
      <c r="A37" s="121" t="s">
        <v>97</v>
      </c>
      <c r="B37" s="133" t="s">
        <v>98</v>
      </c>
      <c r="C37" s="116" t="s">
        <v>99</v>
      </c>
      <c r="D37" s="115" t="s">
        <v>88</v>
      </c>
      <c r="E37" s="115">
        <v>12</v>
      </c>
      <c r="F37" s="107">
        <f>10^6*(1.5+1.2)</f>
        <v>2700000</v>
      </c>
      <c r="G37" s="108">
        <f>+F37*E37</f>
        <v>32400000</v>
      </c>
      <c r="H37" s="134" t="s">
        <v>115</v>
      </c>
      <c r="I37" s="119"/>
      <c r="L37" s="29"/>
      <c r="M37" s="1"/>
      <c r="N37" s="1"/>
      <c r="O37" s="1"/>
      <c r="P37" s="1"/>
      <c r="Q37" s="1"/>
      <c r="R37" s="1"/>
      <c r="S37" s="1"/>
    </row>
    <row r="38" spans="1:19" s="4" customFormat="1" x14ac:dyDescent="0.45">
      <c r="A38" s="121"/>
      <c r="B38" s="122" t="s">
        <v>9</v>
      </c>
      <c r="C38" s="116"/>
      <c r="D38" s="115"/>
      <c r="E38" s="115"/>
      <c r="F38" s="107"/>
      <c r="G38" s="108">
        <f>G37+G34+G24+G20+G16+G12+G3</f>
        <v>654400000</v>
      </c>
      <c r="H38" s="118"/>
      <c r="I38" s="119"/>
      <c r="L38" s="29"/>
      <c r="M38" s="1"/>
      <c r="N38" s="1"/>
      <c r="O38" s="1"/>
      <c r="P38" s="1"/>
      <c r="Q38" s="1"/>
      <c r="R38" s="1"/>
      <c r="S38" s="1"/>
    </row>
    <row r="39" spans="1:19" x14ac:dyDescent="0.45">
      <c r="A39" s="7"/>
      <c r="B39" s="8"/>
      <c r="C39" s="10"/>
      <c r="D39" s="8"/>
      <c r="E39" s="8"/>
      <c r="F39" s="8"/>
      <c r="G39" s="9"/>
      <c r="H39" s="9"/>
      <c r="I39" s="10"/>
    </row>
  </sheetData>
  <mergeCells count="4">
    <mergeCell ref="A1:I1"/>
    <mergeCell ref="D13:F13"/>
    <mergeCell ref="H17:H19"/>
    <mergeCell ref="H30:H32"/>
  </mergeCells>
  <pageMargins left="0.70866141732283472" right="0.31496062992125984" top="0.74803149606299213" bottom="0.7480314960629921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workbookViewId="0">
      <selection activeCell="A12" sqref="A12:XFD12"/>
    </sheetView>
  </sheetViews>
  <sheetFormatPr defaultColWidth="8.875" defaultRowHeight="15.4" x14ac:dyDescent="0.45"/>
  <cols>
    <col min="1" max="1" width="6.875" customWidth="1"/>
    <col min="2" max="2" width="30.625" customWidth="1"/>
    <col min="3" max="3" width="15.375" customWidth="1"/>
    <col min="4" max="4" width="12.125" customWidth="1"/>
    <col min="5" max="5" width="16" customWidth="1"/>
    <col min="6" max="6" width="12.5" customWidth="1"/>
    <col min="7" max="7" width="17.625" customWidth="1"/>
    <col min="8" max="8" width="22" customWidth="1"/>
  </cols>
  <sheetData>
    <row r="1" spans="1:8" x14ac:dyDescent="0.45">
      <c r="A1" s="155" t="s">
        <v>57</v>
      </c>
      <c r="B1" s="155"/>
      <c r="C1" s="155"/>
      <c r="D1" s="155"/>
      <c r="E1" s="155"/>
      <c r="F1" s="155"/>
      <c r="G1" s="155"/>
      <c r="H1" s="155"/>
    </row>
    <row r="3" spans="1:8" ht="69" customHeight="1" x14ac:dyDescent="0.45">
      <c r="A3" s="158" t="s">
        <v>20</v>
      </c>
      <c r="B3" s="158" t="s">
        <v>21</v>
      </c>
      <c r="C3" s="156" t="s">
        <v>61</v>
      </c>
      <c r="D3" s="157"/>
      <c r="E3" s="156" t="s">
        <v>60</v>
      </c>
      <c r="F3" s="157"/>
      <c r="G3" s="158" t="s">
        <v>59</v>
      </c>
      <c r="H3" s="2" t="s">
        <v>26</v>
      </c>
    </row>
    <row r="4" spans="1:8" x14ac:dyDescent="0.45">
      <c r="A4" s="159"/>
      <c r="B4" s="159"/>
      <c r="C4" s="18">
        <v>27</v>
      </c>
      <c r="D4" s="18" t="s">
        <v>12</v>
      </c>
      <c r="E4" s="18">
        <v>9</v>
      </c>
      <c r="F4" s="18" t="s">
        <v>58</v>
      </c>
      <c r="G4" s="159"/>
      <c r="H4" s="18"/>
    </row>
    <row r="5" spans="1:8" ht="30" x14ac:dyDescent="0.45">
      <c r="A5" s="160"/>
      <c r="B5" s="160"/>
      <c r="C5" s="20" t="s">
        <v>9</v>
      </c>
      <c r="D5" s="21" t="s">
        <v>63</v>
      </c>
      <c r="E5" s="20" t="s">
        <v>9</v>
      </c>
      <c r="F5" s="21" t="s">
        <v>63</v>
      </c>
      <c r="G5" s="160"/>
      <c r="H5" s="18"/>
    </row>
    <row r="6" spans="1:8" x14ac:dyDescent="0.45">
      <c r="A6" s="19" t="s">
        <v>8</v>
      </c>
      <c r="B6" s="19" t="s">
        <v>62</v>
      </c>
      <c r="C6" s="18"/>
      <c r="D6" s="18"/>
      <c r="E6" s="18"/>
      <c r="F6" s="18"/>
      <c r="G6" s="18"/>
      <c r="H6" s="18"/>
    </row>
    <row r="7" spans="1:8" ht="17.649999999999999" x14ac:dyDescent="0.45">
      <c r="A7" s="22">
        <v>1</v>
      </c>
      <c r="B7" s="23" t="s">
        <v>13</v>
      </c>
      <c r="C7" s="25">
        <f>20000000*C4</f>
        <v>540000000</v>
      </c>
      <c r="D7" s="26">
        <f t="shared" ref="D7:D8" si="0">+C7/$C$4</f>
        <v>20000000</v>
      </c>
      <c r="E7" s="25">
        <f>20000000*E4</f>
        <v>180000000</v>
      </c>
      <c r="F7" s="26">
        <f t="shared" ref="F7:F8" si="1">+E7/$E$4</f>
        <v>20000000</v>
      </c>
      <c r="G7" s="26">
        <f t="shared" ref="G7:G8" si="2">+D7-F7</f>
        <v>0</v>
      </c>
      <c r="H7" s="27"/>
    </row>
    <row r="8" spans="1:8" ht="35.25" x14ac:dyDescent="0.45">
      <c r="A8" s="22">
        <v>2</v>
      </c>
      <c r="B8" s="24" t="s">
        <v>19</v>
      </c>
      <c r="C8" s="25">
        <f>20000000*C4</f>
        <v>540000000</v>
      </c>
      <c r="D8" s="26">
        <f t="shared" si="0"/>
        <v>20000000</v>
      </c>
      <c r="E8" s="25">
        <f>20000000*E4</f>
        <v>180000000</v>
      </c>
      <c r="F8" s="26">
        <f t="shared" si="1"/>
        <v>20000000</v>
      </c>
      <c r="G8" s="26">
        <f t="shared" si="2"/>
        <v>0</v>
      </c>
      <c r="H8" s="27"/>
    </row>
    <row r="9" spans="1:8" ht="35.25" x14ac:dyDescent="0.45">
      <c r="A9" s="22">
        <v>3</v>
      </c>
      <c r="B9" s="24" t="s">
        <v>18</v>
      </c>
      <c r="C9" s="25">
        <f>124094000+3350000</f>
        <v>127444000</v>
      </c>
      <c r="D9" s="26">
        <f>+C9/$C$4</f>
        <v>4720148.1481481483</v>
      </c>
      <c r="E9" s="26">
        <v>117780000</v>
      </c>
      <c r="F9" s="26">
        <f>+E9/$E$4</f>
        <v>13086666.666666666</v>
      </c>
      <c r="G9" s="26">
        <f>+D9-F9</f>
        <v>-8366518.5185185177</v>
      </c>
      <c r="H9" s="27"/>
    </row>
    <row r="10" spans="1:8" ht="35.25" x14ac:dyDescent="0.45">
      <c r="A10" s="22">
        <v>4</v>
      </c>
      <c r="B10" s="24" t="s">
        <v>17</v>
      </c>
      <c r="C10" s="25">
        <v>202000000</v>
      </c>
      <c r="D10" s="26">
        <f t="shared" ref="D10:D14" si="3">+C10/$C$4</f>
        <v>7481481.4814814813</v>
      </c>
      <c r="E10" s="26">
        <v>160000000</v>
      </c>
      <c r="F10" s="26">
        <f t="shared" ref="F10:F14" si="4">+E10/$E$4</f>
        <v>17777777.777777776</v>
      </c>
      <c r="G10" s="26">
        <f t="shared" ref="G10:G14" si="5">+D10-F10</f>
        <v>-10296296.296296295</v>
      </c>
      <c r="H10" s="27"/>
    </row>
    <row r="11" spans="1:8" ht="17.649999999999999" x14ac:dyDescent="0.45">
      <c r="A11" s="22">
        <v>5</v>
      </c>
      <c r="B11" s="24" t="s">
        <v>65</v>
      </c>
      <c r="C11" s="25">
        <v>22000000</v>
      </c>
      <c r="D11" s="26"/>
      <c r="E11" s="26">
        <v>0</v>
      </c>
      <c r="F11" s="26">
        <f t="shared" si="4"/>
        <v>0</v>
      </c>
      <c r="G11" s="26">
        <f t="shared" si="5"/>
        <v>0</v>
      </c>
      <c r="H11" s="27"/>
    </row>
    <row r="12" spans="1:8" ht="17.649999999999999" x14ac:dyDescent="0.45">
      <c r="A12" s="22"/>
      <c r="B12" s="24"/>
      <c r="C12" s="25"/>
      <c r="D12" s="26"/>
      <c r="E12" s="26"/>
      <c r="F12" s="26"/>
      <c r="G12" s="26"/>
      <c r="H12" s="27"/>
    </row>
    <row r="13" spans="1:8" x14ac:dyDescent="0.45">
      <c r="A13" s="18"/>
      <c r="B13" s="18"/>
      <c r="C13" s="26"/>
      <c r="D13" s="26">
        <f t="shared" si="3"/>
        <v>0</v>
      </c>
      <c r="E13" s="26"/>
      <c r="F13" s="26">
        <f t="shared" si="4"/>
        <v>0</v>
      </c>
      <c r="G13" s="26">
        <f t="shared" si="5"/>
        <v>0</v>
      </c>
      <c r="H13" s="27"/>
    </row>
    <row r="14" spans="1:8" x14ac:dyDescent="0.45">
      <c r="A14" s="18"/>
      <c r="B14" s="18"/>
      <c r="C14" s="27"/>
      <c r="D14" s="26">
        <f t="shared" si="3"/>
        <v>0</v>
      </c>
      <c r="E14" s="27"/>
      <c r="F14" s="26">
        <f t="shared" si="4"/>
        <v>0</v>
      </c>
      <c r="G14" s="26">
        <f t="shared" si="5"/>
        <v>0</v>
      </c>
      <c r="H14" s="27"/>
    </row>
    <row r="15" spans="1:8" x14ac:dyDescent="0.45">
      <c r="A15" s="18"/>
      <c r="B15" s="18"/>
      <c r="C15" s="27"/>
      <c r="D15" s="27"/>
      <c r="E15" s="27"/>
      <c r="F15" s="27"/>
      <c r="G15" s="27"/>
      <c r="H15" s="27"/>
    </row>
    <row r="16" spans="1:8" x14ac:dyDescent="0.45">
      <c r="A16" s="18"/>
      <c r="B16" s="18"/>
      <c r="C16" s="27"/>
      <c r="D16" s="27"/>
      <c r="E16" s="27"/>
      <c r="F16" s="27"/>
      <c r="G16" s="27"/>
      <c r="H16" s="27"/>
    </row>
    <row r="17" spans="1:8" x14ac:dyDescent="0.45">
      <c r="A17" s="18"/>
      <c r="B17" s="18"/>
      <c r="C17" s="27"/>
      <c r="D17" s="27"/>
      <c r="E17" s="27"/>
      <c r="F17" s="27"/>
      <c r="G17" s="27"/>
      <c r="H17" s="27"/>
    </row>
    <row r="18" spans="1:8" x14ac:dyDescent="0.45">
      <c r="A18" s="18"/>
      <c r="B18" s="18"/>
      <c r="C18" s="18"/>
      <c r="D18" s="18"/>
      <c r="E18" s="18"/>
      <c r="F18" s="18"/>
      <c r="G18" s="18"/>
      <c r="H18" s="18"/>
    </row>
    <row r="19" spans="1:8" x14ac:dyDescent="0.45">
      <c r="A19" s="18"/>
      <c r="B19" s="18"/>
      <c r="C19" s="18"/>
      <c r="D19" s="18"/>
      <c r="E19" s="18"/>
      <c r="F19" s="18"/>
      <c r="G19" s="18"/>
      <c r="H19" s="18"/>
    </row>
    <row r="20" spans="1:8" x14ac:dyDescent="0.45">
      <c r="A20" s="18"/>
      <c r="B20" s="18"/>
      <c r="C20" s="18"/>
      <c r="D20" s="18"/>
      <c r="E20" s="18"/>
      <c r="F20" s="18"/>
      <c r="G20" s="18"/>
      <c r="H20" s="18"/>
    </row>
    <row r="21" spans="1:8" x14ac:dyDescent="0.45">
      <c r="A21" s="18"/>
      <c r="B21" s="18"/>
      <c r="C21" s="18"/>
      <c r="D21" s="18"/>
      <c r="E21" s="18"/>
      <c r="F21" s="18"/>
      <c r="G21" s="18"/>
      <c r="H21" s="18"/>
    </row>
    <row r="22" spans="1:8" x14ac:dyDescent="0.45">
      <c r="A22" s="18"/>
      <c r="B22" s="18"/>
      <c r="C22" s="18"/>
      <c r="D22" s="18"/>
      <c r="E22" s="18"/>
      <c r="F22" s="18"/>
      <c r="G22" s="18"/>
      <c r="H22" s="18"/>
    </row>
    <row r="23" spans="1:8" x14ac:dyDescent="0.45">
      <c r="A23" s="18"/>
      <c r="B23" s="18"/>
      <c r="C23" s="18"/>
      <c r="D23" s="18"/>
      <c r="E23" s="18"/>
      <c r="F23" s="18"/>
      <c r="G23" s="18"/>
      <c r="H23" s="18"/>
    </row>
    <row r="24" spans="1:8" x14ac:dyDescent="0.45">
      <c r="A24" s="18"/>
      <c r="B24" s="18"/>
      <c r="C24" s="18"/>
      <c r="D24" s="18"/>
      <c r="E24" s="18"/>
      <c r="F24" s="18"/>
      <c r="G24" s="18"/>
      <c r="H24" s="18"/>
    </row>
    <row r="25" spans="1:8" x14ac:dyDescent="0.45">
      <c r="A25" s="18"/>
      <c r="B25" s="18"/>
      <c r="C25" s="18"/>
      <c r="D25" s="18"/>
      <c r="E25" s="18"/>
      <c r="F25" s="18"/>
      <c r="G25" s="18"/>
      <c r="H25" s="18"/>
    </row>
    <row r="26" spans="1:8" x14ac:dyDescent="0.45">
      <c r="A26" s="18"/>
      <c r="B26" s="18"/>
      <c r="C26" s="18"/>
      <c r="D26" s="18"/>
      <c r="E26" s="18"/>
      <c r="F26" s="18"/>
      <c r="G26" s="18"/>
      <c r="H26" s="18"/>
    </row>
  </sheetData>
  <mergeCells count="6">
    <mergeCell ref="A1:H1"/>
    <mergeCell ref="C3:D3"/>
    <mergeCell ref="E3:F3"/>
    <mergeCell ref="A3:A5"/>
    <mergeCell ref="B3:B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Tổng hợp_đủ </vt:lpstr>
      <vt:lpstr>TH Chi Quỹ Cộng đồng</vt:lpstr>
      <vt:lpstr>PL Chi tiết các công việc</vt:lpstr>
      <vt:lpstr>Bảng chênh lệch 2 giai đoạn</vt:lpstr>
      <vt:lpstr>'PL Chi tiết các công việc'!Print_Area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Hai</dc:creator>
  <cp:lastModifiedBy>Hanh Tran</cp:lastModifiedBy>
  <cp:lastPrinted>2025-09-30T15:38:55Z</cp:lastPrinted>
  <dcterms:created xsi:type="dcterms:W3CDTF">2023-05-22T02:23:03Z</dcterms:created>
  <dcterms:modified xsi:type="dcterms:W3CDTF">2025-09-30T15:50:40Z</dcterms:modified>
</cp:coreProperties>
</file>